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ydneyFortier\Desktop\BCRC\"/>
    </mc:Choice>
  </mc:AlternateContent>
  <xr:revisionPtr revIDLastSave="0" documentId="8_{8AD5F611-84F9-46FB-B2D9-4BE0F6E15D7A}" xr6:coauthVersionLast="47" xr6:coauthVersionMax="47" xr10:uidLastSave="{00000000-0000-0000-0000-000000000000}"/>
  <bookViews>
    <workbookView xWindow="-110" yWindow="-110" windowWidth="19420" windowHeight="10420" xr2:uid="{38AB4CF9-058E-4C18-BF70-E9C53D8EB65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 r="F13" i="1"/>
  <c r="F12" i="1"/>
  <c r="F11" i="1"/>
  <c r="F10" i="1"/>
  <c r="B21" i="1"/>
  <c r="F22" i="1"/>
  <c r="I22" i="1" s="1"/>
  <c r="F21" i="1"/>
  <c r="I21" i="1" s="1"/>
  <c r="F20" i="1"/>
  <c r="I20" i="1" s="1"/>
  <c r="F19" i="1"/>
  <c r="I19" i="1" s="1"/>
  <c r="B11" i="1"/>
  <c r="B13" i="1" s="1"/>
  <c r="I23" i="1" l="1"/>
  <c r="F14" i="1" l="1"/>
  <c r="F16" i="1" s="1"/>
  <c r="G10" i="1"/>
  <c r="I24" i="1"/>
  <c r="B14" i="1" l="1"/>
  <c r="B15" i="1" s="1"/>
  <c r="B20" i="1" s="1"/>
  <c r="B23" i="1" s="1"/>
  <c r="G11" i="1"/>
  <c r="G12" i="1"/>
  <c r="G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Bryan Doig</author>
  </authors>
  <commentList>
    <comment ref="L8" authorId="0" shapeId="0" xr:uid="{F33B21CD-225D-4AB8-9EAB-69205A6C8AD2}">
      <text>
        <r>
          <rPr>
            <b/>
            <sz val="8"/>
            <color indexed="81"/>
            <rFont val="Tahoma"/>
            <family val="2"/>
          </rPr>
          <t xml:space="preserve">To convert Crude Protein % to lbs of Nitrogen
ex:  Hay  at 14% Crude Protein  (100% Dry Matter)
        2,204.6 lbs x 14% = 308.64 lbs Crude Protein
         308.64 lbs / 6.25 = 49.38 lbs Nitrogen
         6.25 is the conversion factor from Crude Protein to Nitrogen
Nitrogen Fixation – Annual Legumes
Legume crops fix a portion of their nitrogen requirement from the air.  Therefore, not all of the nitrogen removed in the crop was supplied by the soil.  When properly inoculated under average growing conditions, expected nitrogen fixation levels for annual legumes are:
Peas:  average 55%, range of 40-70%
Lentils:  average 60%, range of 40-75%
Desi chickpea:  average 55%, range of 40-62%
Kabuli:  average 45%, range of 35-65%
Bean:  35%, range of 22-58%
Fababean:  90%, range of 75-95%
Nitrogen Fixation – Alfalfa
Alfalfa stands up to five years of age may fix on average 82% (range 51-85%) nitrogen.  Stands older than five years may fix 50% or less nitrogen. 
</t>
        </r>
        <r>
          <rPr>
            <sz val="8"/>
            <color indexed="81"/>
            <rFont val="Tahoma"/>
            <family val="2"/>
          </rPr>
          <t xml:space="preserve">
</t>
        </r>
      </text>
    </comment>
    <comment ref="M8" authorId="0" shapeId="0" xr:uid="{29D2D3FD-E304-4B79-BB42-ADB495EF66BD}">
      <text>
        <r>
          <rPr>
            <b/>
            <sz val="8"/>
            <color indexed="81"/>
            <rFont val="Tahoma"/>
            <family val="2"/>
          </rPr>
          <t>To convert P to P</t>
        </r>
        <r>
          <rPr>
            <b/>
            <vertAlign val="subscript"/>
            <sz val="8"/>
            <color indexed="81"/>
            <rFont val="Tahoma"/>
            <family val="2"/>
          </rPr>
          <t>2</t>
        </r>
        <r>
          <rPr>
            <b/>
            <sz val="8"/>
            <color indexed="81"/>
            <rFont val="Tahoma"/>
            <family val="2"/>
          </rPr>
          <t>0</t>
        </r>
        <r>
          <rPr>
            <b/>
            <vertAlign val="subscript"/>
            <sz val="8"/>
            <color indexed="81"/>
            <rFont val="Tahoma"/>
            <family val="2"/>
          </rPr>
          <t>5</t>
        </r>
        <r>
          <rPr>
            <b/>
            <sz val="8"/>
            <color indexed="81"/>
            <rFont val="Tahoma"/>
            <family val="2"/>
          </rPr>
          <t xml:space="preserve">
Multiply by 2.29
To convert P</t>
        </r>
        <r>
          <rPr>
            <b/>
            <vertAlign val="subscript"/>
            <sz val="8"/>
            <color indexed="81"/>
            <rFont val="Tahoma"/>
            <family val="2"/>
          </rPr>
          <t>2</t>
        </r>
        <r>
          <rPr>
            <b/>
            <sz val="8"/>
            <color indexed="81"/>
            <rFont val="Tahoma"/>
            <family val="2"/>
          </rPr>
          <t>0</t>
        </r>
        <r>
          <rPr>
            <b/>
            <vertAlign val="subscript"/>
            <sz val="8"/>
            <color indexed="81"/>
            <rFont val="Tahoma"/>
            <family val="2"/>
          </rPr>
          <t>5</t>
        </r>
        <r>
          <rPr>
            <b/>
            <sz val="8"/>
            <color indexed="81"/>
            <rFont val="Tahoma"/>
            <family val="2"/>
          </rPr>
          <t xml:space="preserve"> to P
Multiply by 0.437
</t>
        </r>
      </text>
    </comment>
    <comment ref="N8" authorId="0" shapeId="0" xr:uid="{72453F60-81A9-4F62-8D70-90C557FFE488}">
      <text>
        <r>
          <rPr>
            <b/>
            <sz val="8"/>
            <color indexed="81"/>
            <rFont val="Tahoma"/>
            <family val="2"/>
          </rPr>
          <t>To convert K to K</t>
        </r>
        <r>
          <rPr>
            <b/>
            <vertAlign val="subscript"/>
            <sz val="8"/>
            <color indexed="81"/>
            <rFont val="Tahoma"/>
            <family val="2"/>
          </rPr>
          <t>2</t>
        </r>
        <r>
          <rPr>
            <b/>
            <sz val="8"/>
            <color indexed="81"/>
            <rFont val="Tahoma"/>
            <family val="2"/>
          </rPr>
          <t xml:space="preserve">0          To convert K20 to K
Multiply by 1.2                   Multiply by 0.833
Potassium levels in many Saskatchewan soils are adequate and currently do not respond to potassium fertilizer.  However, at some point, potassium levels will begin to be depleted and will need to be replenished. 
Coarse textured soils (sandy, gravelly) and Grey Wooded soils are most suseptible to potassium deficiency, and are most consistently responsive to potassium fertilization.
</t>
        </r>
      </text>
    </comment>
    <comment ref="O8" authorId="0" shapeId="0" xr:uid="{D13C368E-7287-4927-BDE6-5320A10C3D90}">
      <text>
        <r>
          <rPr>
            <b/>
            <sz val="8"/>
            <color indexed="81"/>
            <rFont val="Tahoma"/>
            <family val="2"/>
          </rPr>
          <t xml:space="preserve">Elemental Sulphur </t>
        </r>
        <r>
          <rPr>
            <sz val="8"/>
            <color indexed="81"/>
            <rFont val="Tahoma"/>
            <family val="2"/>
          </rPr>
          <t xml:space="preserve">
</t>
        </r>
      </text>
    </comment>
  </commentList>
</comments>
</file>

<file path=xl/sharedStrings.xml><?xml version="1.0" encoding="utf-8"?>
<sst xmlns="http://schemas.openxmlformats.org/spreadsheetml/2006/main" count="96" uniqueCount="84">
  <si>
    <t>Value of Crop for Livestock Feed</t>
  </si>
  <si>
    <t>Enter information in the yellow highlighted cells</t>
  </si>
  <si>
    <t>Step 1. Select crop</t>
  </si>
  <si>
    <t>Select crop</t>
  </si>
  <si>
    <t>Cereal Straw</t>
  </si>
  <si>
    <t>Estimated straw yield</t>
  </si>
  <si>
    <t>tonne/ac</t>
  </si>
  <si>
    <t>Average levels of forage nutrients (100% dry matter) 1 tonne = 2204.6 lbs</t>
  </si>
  <si>
    <t>Step 2. Value of standing crop</t>
  </si>
  <si>
    <t>Step 3. Nutrient value of straw and manure</t>
  </si>
  <si>
    <t>Feed type</t>
  </si>
  <si>
    <t>lbs N</t>
  </si>
  <si>
    <r>
      <t>lbs P</t>
    </r>
    <r>
      <rPr>
        <b/>
        <vertAlign val="subscript"/>
        <sz val="9"/>
        <rFont val="Arial"/>
        <family val="2"/>
      </rPr>
      <t>2</t>
    </r>
    <r>
      <rPr>
        <b/>
        <sz val="9"/>
        <rFont val="Arial"/>
        <family val="2"/>
      </rPr>
      <t>O</t>
    </r>
    <r>
      <rPr>
        <b/>
        <vertAlign val="subscript"/>
        <sz val="9"/>
        <rFont val="Arial"/>
        <family val="2"/>
      </rPr>
      <t>5</t>
    </r>
    <r>
      <rPr>
        <b/>
        <sz val="9"/>
        <rFont val="Arial"/>
        <family val="2"/>
      </rPr>
      <t xml:space="preserve"> </t>
    </r>
  </si>
  <si>
    <r>
      <t>lbs K</t>
    </r>
    <r>
      <rPr>
        <b/>
        <vertAlign val="subscript"/>
        <sz val="9"/>
        <rFont val="Arial"/>
        <family val="2"/>
      </rPr>
      <t>2</t>
    </r>
    <r>
      <rPr>
        <b/>
        <sz val="9"/>
        <rFont val="Arial"/>
        <family val="2"/>
      </rPr>
      <t xml:space="preserve">O </t>
    </r>
  </si>
  <si>
    <t xml:space="preserve">lbs S </t>
  </si>
  <si>
    <t>Estimated grain yield</t>
  </si>
  <si>
    <t>bu/ac</t>
  </si>
  <si>
    <t xml:space="preserve">Nutrients </t>
  </si>
  <si>
    <t>Straw (lb/ac)</t>
  </si>
  <si>
    <t>Manure (lbs)</t>
  </si>
  <si>
    <t>Price ($/lb)</t>
  </si>
  <si>
    <t>Nutrients in Manure</t>
  </si>
  <si>
    <t>per Tonne</t>
  </si>
  <si>
    <t>Current grain price</t>
  </si>
  <si>
    <t>$/bu</t>
  </si>
  <si>
    <t>Nitrogen (N)</t>
  </si>
  <si>
    <t>6 g/kg</t>
  </si>
  <si>
    <t>Grain value</t>
  </si>
  <si>
    <t>$/ac</t>
  </si>
  <si>
    <t>Phosphorus (P)</t>
  </si>
  <si>
    <t>7.89 g/kg</t>
  </si>
  <si>
    <t>Pea Straw</t>
  </si>
  <si>
    <t>Less combine costs</t>
  </si>
  <si>
    <t>Potassium (K)</t>
  </si>
  <si>
    <t>38.45 g/kg</t>
  </si>
  <si>
    <t>Lentil Straw</t>
  </si>
  <si>
    <t>Grain value in the bin</t>
  </si>
  <si>
    <t>Sulphur (S)</t>
  </si>
  <si>
    <t>Alfalfa Hay</t>
  </si>
  <si>
    <t>Nutrient value of straw</t>
  </si>
  <si>
    <t>Value ($/ac)</t>
  </si>
  <si>
    <t>Alfalfa Grass Hay</t>
  </si>
  <si>
    <t>Value of standing crop</t>
  </si>
  <si>
    <t>Total acres</t>
  </si>
  <si>
    <t>Bromegrass Hay</t>
  </si>
  <si>
    <t>Total value for the field</t>
  </si>
  <si>
    <t>Timothy Hay</t>
  </si>
  <si>
    <t>Step 4. Cost of feed to producer</t>
  </si>
  <si>
    <t>Barley Greenfeed</t>
  </si>
  <si>
    <t>Swathing</t>
  </si>
  <si>
    <t>Manure from Grazing</t>
  </si>
  <si>
    <t xml:space="preserve"> lbs per day</t>
  </si>
  <si>
    <t>days grazing</t>
  </si>
  <si>
    <t>herd size</t>
  </si>
  <si>
    <t>Manure produced</t>
  </si>
  <si>
    <t>Barley Silage</t>
  </si>
  <si>
    <t>Yield</t>
  </si>
  <si>
    <t>bales/acre</t>
  </si>
  <si>
    <t>Beef cow</t>
  </si>
  <si>
    <t>Corn Silage</t>
  </si>
  <si>
    <t>Feed cost as a swath</t>
  </si>
  <si>
    <t>$/bale</t>
  </si>
  <si>
    <t>Steers</t>
  </si>
  <si>
    <t>Oat Grain</t>
  </si>
  <si>
    <t>Cost of baling</t>
  </si>
  <si>
    <t>Heifers</t>
  </si>
  <si>
    <t>Barley Grain</t>
  </si>
  <si>
    <t>Transportation</t>
  </si>
  <si>
    <t>Calves</t>
  </si>
  <si>
    <t>Wheat Grain</t>
  </si>
  <si>
    <t>Total</t>
  </si>
  <si>
    <t>Lbs total</t>
  </si>
  <si>
    <t>Canola Grain</t>
  </si>
  <si>
    <t>Kgs total</t>
  </si>
  <si>
    <t xml:space="preserve">Pea Grain </t>
  </si>
  <si>
    <t>Conversions</t>
  </si>
  <si>
    <t>Lentil Grain</t>
  </si>
  <si>
    <t>Grain price</t>
  </si>
  <si>
    <t>$/tonne</t>
  </si>
  <si>
    <t>* CowBytes© Feed Table ver 5.3.2</t>
  </si>
  <si>
    <t>Conversion to bushel</t>
  </si>
  <si>
    <t>bu/tonne</t>
  </si>
  <si>
    <t xml:space="preserve">  Alberta Agriculture and Rural Development</t>
  </si>
  <si>
    <t>Price per bushel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</si>
</sst>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0.000"/>
    <numFmt numFmtId="165" formatCode="0.0"/>
    <numFmt numFmtId="166" formatCode="_-* #,##0_-;\-* #,##0_-;_-* &quot;-&quot;??_-;_-@_-"/>
    <numFmt numFmtId="167"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9"/>
      <name val="Arial"/>
      <family val="2"/>
    </font>
    <font>
      <b/>
      <vertAlign val="subscript"/>
      <sz val="9"/>
      <name val="Arial"/>
      <family val="2"/>
    </font>
    <font>
      <b/>
      <sz val="10"/>
      <name val="Arial"/>
      <family val="2"/>
    </font>
    <font>
      <b/>
      <sz val="8"/>
      <color indexed="81"/>
      <name val="Tahoma"/>
      <family val="2"/>
    </font>
    <font>
      <sz val="8"/>
      <color indexed="81"/>
      <name val="Tahoma"/>
      <family val="2"/>
    </font>
    <font>
      <b/>
      <vertAlign val="subscript"/>
      <sz val="8"/>
      <color indexed="81"/>
      <name val="Tahoma"/>
      <family val="2"/>
    </font>
    <font>
      <sz val="8"/>
      <name val="Arial"/>
      <family val="2"/>
    </font>
    <font>
      <sz val="12"/>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3" fillId="0" borderId="0" xfId="0" applyFont="1"/>
    <xf numFmtId="164" fontId="0" fillId="0" borderId="0" xfId="0" applyNumberFormat="1"/>
    <xf numFmtId="44" fontId="0" fillId="0" borderId="0" xfId="2" applyFont="1"/>
    <xf numFmtId="0" fontId="5" fillId="0" borderId="0" xfId="0" applyFont="1"/>
    <xf numFmtId="0" fontId="0" fillId="0" borderId="1" xfId="0" applyBorder="1"/>
    <xf numFmtId="8" fontId="0" fillId="0" borderId="1" xfId="0" applyNumberFormat="1" applyBorder="1"/>
    <xf numFmtId="44" fontId="0" fillId="0" borderId="1" xfId="2" applyFont="1" applyFill="1" applyBorder="1"/>
    <xf numFmtId="0" fontId="2" fillId="0" borderId="1" xfId="0" applyFont="1" applyBorder="1"/>
    <xf numFmtId="166" fontId="0" fillId="0" borderId="1" xfId="0" applyNumberFormat="1" applyBorder="1"/>
    <xf numFmtId="44" fontId="0" fillId="0" borderId="1" xfId="2" applyFont="1" applyBorder="1"/>
    <xf numFmtId="44" fontId="2" fillId="0" borderId="1" xfId="2" applyFont="1" applyBorder="1"/>
    <xf numFmtId="165" fontId="0" fillId="0" borderId="1" xfId="0" applyNumberFormat="1" applyBorder="1"/>
    <xf numFmtId="166" fontId="0" fillId="0" borderId="1" xfId="1" applyNumberFormat="1" applyFont="1" applyBorder="1"/>
    <xf numFmtId="167" fontId="0" fillId="0" borderId="1" xfId="0" applyNumberFormat="1" applyBorder="1"/>
    <xf numFmtId="44" fontId="2" fillId="0" borderId="1" xfId="0" applyNumberFormat="1" applyFont="1" applyBorder="1"/>
    <xf numFmtId="8" fontId="2" fillId="0" borderId="1" xfId="0" applyNumberFormat="1" applyFont="1" applyBorder="1"/>
    <xf numFmtId="0" fontId="6" fillId="3" borderId="3" xfId="0" applyFont="1" applyFill="1" applyBorder="1" applyAlignment="1">
      <alignment horizontal="center" vertical="center"/>
    </xf>
    <xf numFmtId="49" fontId="6" fillId="3" borderId="3" xfId="0" applyNumberFormat="1" applyFont="1" applyFill="1" applyBorder="1" applyAlignment="1">
      <alignment horizontal="center" vertical="center"/>
    </xf>
    <xf numFmtId="0" fontId="6" fillId="3" borderId="4" xfId="0" applyFont="1" applyFill="1" applyBorder="1" applyAlignment="1">
      <alignment horizontal="center" vertical="center"/>
    </xf>
    <xf numFmtId="49" fontId="6" fillId="3" borderId="4" xfId="0" applyNumberFormat="1" applyFont="1" applyFill="1" applyBorder="1" applyAlignment="1">
      <alignment horizontal="center" vertical="center"/>
    </xf>
    <xf numFmtId="0" fontId="8" fillId="0" borderId="1" xfId="0" applyFont="1" applyBorder="1" applyAlignment="1">
      <alignment vertical="center"/>
    </xf>
    <xf numFmtId="2" fontId="0" fillId="0" borderId="1" xfId="0" applyNumberFormat="1" applyBorder="1" applyAlignment="1" applyProtection="1">
      <alignment horizontal="center" vertical="center"/>
      <protection locked="0"/>
    </xf>
    <xf numFmtId="49" fontId="12" fillId="0" borderId="0" xfId="0" applyNumberFormat="1" applyFont="1"/>
    <xf numFmtId="0" fontId="12" fillId="0" borderId="0" xfId="0" applyFont="1"/>
    <xf numFmtId="0" fontId="5" fillId="0" borderId="8" xfId="0" applyFont="1" applyBorder="1"/>
    <xf numFmtId="0" fontId="0" fillId="0" borderId="10" xfId="0" applyBorder="1"/>
    <xf numFmtId="0" fontId="5" fillId="0" borderId="1" xfId="0" applyFont="1" applyBorder="1"/>
    <xf numFmtId="44" fontId="0" fillId="0" borderId="1" xfId="0" applyNumberFormat="1" applyBorder="1"/>
    <xf numFmtId="2" fontId="0" fillId="0" borderId="1" xfId="0" applyNumberFormat="1" applyBorder="1"/>
    <xf numFmtId="44" fontId="0" fillId="2" borderId="1" xfId="2" applyFont="1" applyFill="1" applyBorder="1" applyProtection="1">
      <protection locked="0"/>
    </xf>
    <xf numFmtId="43" fontId="0" fillId="2" borderId="1" xfId="1" applyFont="1" applyFill="1" applyBorder="1" applyProtection="1">
      <protection locked="0"/>
    </xf>
    <xf numFmtId="0" fontId="0" fillId="2" borderId="1" xfId="0" applyFill="1" applyBorder="1" applyProtection="1">
      <protection locked="0"/>
    </xf>
    <xf numFmtId="8" fontId="0" fillId="2" borderId="1" xfId="0" applyNumberFormat="1" applyFill="1" applyBorder="1" applyProtection="1">
      <protection locked="0"/>
    </xf>
    <xf numFmtId="2" fontId="0" fillId="2" borderId="1" xfId="0" applyNumberFormat="1" applyFill="1" applyBorder="1" applyProtection="1">
      <protection locked="0"/>
    </xf>
    <xf numFmtId="0" fontId="13" fillId="2" borderId="9" xfId="0" applyFont="1" applyFill="1" applyBorder="1" applyAlignment="1" applyProtection="1">
      <alignment vertical="center"/>
      <protection locked="0"/>
    </xf>
    <xf numFmtId="0" fontId="2" fillId="0" borderId="0" xfId="0" applyFont="1" applyAlignment="1">
      <alignment horizontal="center" wrapText="1"/>
    </xf>
    <xf numFmtId="0" fontId="2" fillId="0" borderId="2" xfId="0" applyFont="1" applyBorder="1" applyAlignment="1">
      <alignment horizontal="center" wrapText="1"/>
    </xf>
    <xf numFmtId="0" fontId="4" fillId="3" borderId="1"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323850</xdr:colOff>
      <xdr:row>0</xdr:row>
      <xdr:rowOff>0</xdr:rowOff>
    </xdr:from>
    <xdr:to>
      <xdr:col>6</xdr:col>
      <xdr:colOff>398145</xdr:colOff>
      <xdr:row>4</xdr:row>
      <xdr:rowOff>57670</xdr:rowOff>
    </xdr:to>
    <xdr:pic>
      <xdr:nvPicPr>
        <xdr:cNvPr id="2" name="Picture 4">
          <a:extLst>
            <a:ext uri="{FF2B5EF4-FFF2-40B4-BE49-F238E27FC236}">
              <a16:creationId xmlns:a16="http://schemas.microsoft.com/office/drawing/2014/main" id="{3AF73B2E-B261-4520-83A2-BA431F19B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0" y="0"/>
          <a:ext cx="2400300" cy="863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41121</xdr:colOff>
      <xdr:row>13</xdr:row>
      <xdr:rowOff>98608</xdr:rowOff>
    </xdr:from>
    <xdr:to>
      <xdr:col>3</xdr:col>
      <xdr:colOff>529590</xdr:colOff>
      <xdr:row>13</xdr:row>
      <xdr:rowOff>98608</xdr:rowOff>
    </xdr:to>
    <xdr:cxnSp macro="">
      <xdr:nvCxnSpPr>
        <xdr:cNvPr id="3" name="Straight Arrow Connector 2">
          <a:extLst>
            <a:ext uri="{FF2B5EF4-FFF2-40B4-BE49-F238E27FC236}">
              <a16:creationId xmlns:a16="http://schemas.microsoft.com/office/drawing/2014/main" id="{03EF59C6-C6F6-458E-BA6A-8C5ED7BE62CD}"/>
            </a:ext>
          </a:extLst>
        </xdr:cNvPr>
        <xdr:cNvCxnSpPr/>
      </xdr:nvCxnSpPr>
      <xdr:spPr>
        <a:xfrm flipH="1" flipV="1">
          <a:off x="3012921" y="2194108"/>
          <a:ext cx="488469" cy="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347C-6EFE-4BF2-B2A5-C1589AF500E8}">
  <dimension ref="A1:O31"/>
  <sheetViews>
    <sheetView tabSelected="1" zoomScaleNormal="100" workbookViewId="0">
      <selection activeCell="B7" sqref="B7"/>
    </sheetView>
  </sheetViews>
  <sheetFormatPr defaultRowHeight="14.5" x14ac:dyDescent="0.35"/>
  <cols>
    <col min="1" max="1" width="20.7265625" bestFit="1" customWidth="1"/>
    <col min="2" max="2" width="12.7265625" customWidth="1"/>
    <col min="3" max="3" width="11.1796875" bestFit="1" customWidth="1"/>
    <col min="4" max="4" width="5.1796875" customWidth="1"/>
    <col min="5" max="5" width="21.7265625" bestFit="1" customWidth="1"/>
    <col min="6" max="6" width="11.81640625" bestFit="1" customWidth="1"/>
    <col min="7" max="7" width="12.26953125" customWidth="1"/>
    <col min="8" max="8" width="10.54296875" bestFit="1" customWidth="1"/>
    <col min="9" max="9" width="18.7265625" bestFit="1" customWidth="1"/>
    <col min="11" max="11" width="16.7265625" bestFit="1" customWidth="1"/>
  </cols>
  <sheetData>
    <row r="1" spans="1:15" ht="18.5" x14ac:dyDescent="0.45">
      <c r="A1" s="1" t="s">
        <v>0</v>
      </c>
    </row>
    <row r="2" spans="1:15" ht="15.5" x14ac:dyDescent="0.35">
      <c r="A2" s="4" t="s">
        <v>1</v>
      </c>
    </row>
    <row r="4" spans="1:15" ht="15.5" x14ac:dyDescent="0.35">
      <c r="A4" s="38" t="s">
        <v>2</v>
      </c>
      <c r="B4" s="38"/>
      <c r="C4" s="38"/>
    </row>
    <row r="5" spans="1:15" ht="15.5" x14ac:dyDescent="0.35">
      <c r="A5" s="25" t="s">
        <v>3</v>
      </c>
      <c r="B5" s="35" t="s">
        <v>4</v>
      </c>
      <c r="C5" s="26"/>
    </row>
    <row r="6" spans="1:15" ht="15.5" x14ac:dyDescent="0.35">
      <c r="A6" s="27" t="s">
        <v>5</v>
      </c>
      <c r="B6" s="32">
        <v>0.5</v>
      </c>
      <c r="C6" s="5" t="s">
        <v>6</v>
      </c>
      <c r="K6" s="36" t="s">
        <v>7</v>
      </c>
      <c r="L6" s="36"/>
      <c r="M6" s="36"/>
      <c r="N6" s="36"/>
      <c r="O6" s="36"/>
    </row>
    <row r="7" spans="1:15" x14ac:dyDescent="0.35">
      <c r="K7" s="37"/>
      <c r="L7" s="37"/>
      <c r="M7" s="37"/>
      <c r="N7" s="37"/>
      <c r="O7" s="37"/>
    </row>
    <row r="8" spans="1:15" ht="15.5" x14ac:dyDescent="0.35">
      <c r="A8" s="38" t="s">
        <v>8</v>
      </c>
      <c r="B8" s="38"/>
      <c r="C8" s="38"/>
      <c r="E8" s="39" t="s">
        <v>9</v>
      </c>
      <c r="F8" s="40"/>
      <c r="G8" s="40"/>
      <c r="H8" s="40"/>
      <c r="I8" s="41"/>
      <c r="K8" s="17" t="s">
        <v>10</v>
      </c>
      <c r="L8" s="18" t="s">
        <v>11</v>
      </c>
      <c r="M8" s="17" t="s">
        <v>12</v>
      </c>
      <c r="N8" s="17" t="s">
        <v>13</v>
      </c>
      <c r="O8" s="17" t="s">
        <v>14</v>
      </c>
    </row>
    <row r="9" spans="1:15" x14ac:dyDescent="0.35">
      <c r="A9" s="5" t="s">
        <v>15</v>
      </c>
      <c r="B9" s="32">
        <v>14</v>
      </c>
      <c r="C9" s="5" t="s">
        <v>16</v>
      </c>
      <c r="E9" s="8" t="s">
        <v>17</v>
      </c>
      <c r="F9" s="8" t="s">
        <v>18</v>
      </c>
      <c r="G9" s="8" t="s">
        <v>19</v>
      </c>
      <c r="H9" s="8" t="s">
        <v>20</v>
      </c>
      <c r="I9" s="8" t="s">
        <v>21</v>
      </c>
      <c r="K9" s="19"/>
      <c r="L9" s="20" t="s">
        <v>22</v>
      </c>
      <c r="M9" s="19" t="s">
        <v>22</v>
      </c>
      <c r="N9" s="19" t="s">
        <v>22</v>
      </c>
      <c r="O9" s="19" t="s">
        <v>22</v>
      </c>
    </row>
    <row r="10" spans="1:15" x14ac:dyDescent="0.35">
      <c r="A10" s="5" t="s">
        <v>23</v>
      </c>
      <c r="B10" s="33">
        <v>7.95</v>
      </c>
      <c r="C10" s="5" t="s">
        <v>24</v>
      </c>
      <c r="E10" s="5" t="s">
        <v>25</v>
      </c>
      <c r="F10" s="5">
        <f>VLOOKUP($B$5,$K$10:$O$25,2,FALSE)*B6</f>
        <v>6.88</v>
      </c>
      <c r="G10" s="9">
        <f>12*(I23/2000)</f>
        <v>486.11430000000007</v>
      </c>
      <c r="H10" s="32">
        <v>0.55000000000000004</v>
      </c>
      <c r="I10" s="5" t="s">
        <v>26</v>
      </c>
      <c r="K10" s="21" t="s">
        <v>4</v>
      </c>
      <c r="L10" s="22">
        <v>13.76</v>
      </c>
      <c r="M10" s="22">
        <v>4.04</v>
      </c>
      <c r="N10" s="22">
        <v>37.04</v>
      </c>
      <c r="O10" s="22">
        <v>2.65</v>
      </c>
    </row>
    <row r="11" spans="1:15" x14ac:dyDescent="0.35">
      <c r="A11" s="5" t="s">
        <v>27</v>
      </c>
      <c r="B11" s="6">
        <f>B9*B10</f>
        <v>111.3</v>
      </c>
      <c r="C11" s="5" t="s">
        <v>28</v>
      </c>
      <c r="E11" s="5" t="s">
        <v>29</v>
      </c>
      <c r="F11" s="5">
        <f>VLOOKUP($B$5,$K$10:$O$25,3,FALSE)*B6</f>
        <v>2.02</v>
      </c>
      <c r="G11" s="9">
        <f>(0.00789*I24)*2.2046</f>
        <v>639.24030449999998</v>
      </c>
      <c r="H11" s="32">
        <v>0.66</v>
      </c>
      <c r="I11" s="5" t="s">
        <v>30</v>
      </c>
      <c r="K11" s="21" t="s">
        <v>31</v>
      </c>
      <c r="L11" s="22">
        <v>22.93</v>
      </c>
      <c r="M11" s="22">
        <v>4.04</v>
      </c>
      <c r="N11" s="22">
        <v>34.4</v>
      </c>
      <c r="O11" s="22">
        <v>3.31</v>
      </c>
    </row>
    <row r="12" spans="1:15" x14ac:dyDescent="0.35">
      <c r="A12" s="5" t="s">
        <v>32</v>
      </c>
      <c r="B12" s="33">
        <v>32.33</v>
      </c>
      <c r="C12" s="5" t="s">
        <v>28</v>
      </c>
      <c r="E12" s="5" t="s">
        <v>33</v>
      </c>
      <c r="F12" s="5">
        <f>VLOOKUP($B$5,$K$10:$O$25,4,FALSE)*B6</f>
        <v>18.52</v>
      </c>
      <c r="G12" s="9">
        <f>(0.03845*I24)*2.2046</f>
        <v>3115.1824725000001</v>
      </c>
      <c r="H12" s="34">
        <v>0.5</v>
      </c>
      <c r="I12" s="5" t="s">
        <v>34</v>
      </c>
      <c r="K12" s="21" t="s">
        <v>35</v>
      </c>
      <c r="L12" s="22">
        <v>15.88</v>
      </c>
      <c r="M12" s="22">
        <v>5.05</v>
      </c>
      <c r="N12" s="22">
        <v>41.01</v>
      </c>
      <c r="O12" s="22">
        <v>2.65</v>
      </c>
    </row>
    <row r="13" spans="1:15" x14ac:dyDescent="0.35">
      <c r="A13" s="5" t="s">
        <v>36</v>
      </c>
      <c r="B13" s="6">
        <f>B11-B12</f>
        <v>78.97</v>
      </c>
      <c r="C13" s="5"/>
      <c r="E13" s="5" t="s">
        <v>37</v>
      </c>
      <c r="F13" s="5">
        <f>VLOOKUP($B$5,$K$10:$O$25,5,FALSE)*B6</f>
        <v>1.325</v>
      </c>
      <c r="G13" s="9"/>
      <c r="H13" s="32">
        <v>0.55000000000000004</v>
      </c>
      <c r="I13" s="5"/>
      <c r="K13" s="21" t="s">
        <v>38</v>
      </c>
      <c r="L13" s="22">
        <v>64.209999999999994</v>
      </c>
      <c r="M13" s="22">
        <v>12.12</v>
      </c>
      <c r="N13" s="22">
        <v>45.51</v>
      </c>
      <c r="O13" s="22">
        <v>5.29</v>
      </c>
    </row>
    <row r="14" spans="1:15" x14ac:dyDescent="0.35">
      <c r="A14" s="5" t="s">
        <v>39</v>
      </c>
      <c r="B14" s="28">
        <f>+F14</f>
        <v>15.10595</v>
      </c>
      <c r="C14" s="5" t="s">
        <v>28</v>
      </c>
      <c r="E14" s="5" t="s">
        <v>40</v>
      </c>
      <c r="F14" s="10">
        <f>SUMPRODUCT(F10:F13,H10:H13)</f>
        <v>15.10595</v>
      </c>
      <c r="G14" s="8"/>
      <c r="H14" s="5"/>
      <c r="I14" s="5"/>
      <c r="K14" s="21" t="s">
        <v>41</v>
      </c>
      <c r="L14" s="22">
        <v>49.39</v>
      </c>
      <c r="M14" s="22">
        <v>9.59</v>
      </c>
      <c r="N14" s="22">
        <v>43.66</v>
      </c>
      <c r="O14" s="22">
        <v>3.75</v>
      </c>
    </row>
    <row r="15" spans="1:15" x14ac:dyDescent="0.35">
      <c r="A15" s="8" t="s">
        <v>42</v>
      </c>
      <c r="B15" s="16">
        <f>+B13+B14</f>
        <v>94.075950000000006</v>
      </c>
      <c r="C15" s="8" t="s">
        <v>28</v>
      </c>
      <c r="E15" s="5" t="s">
        <v>43</v>
      </c>
      <c r="F15" s="32">
        <v>160</v>
      </c>
      <c r="G15" s="5"/>
      <c r="H15" s="5"/>
      <c r="I15" s="5"/>
      <c r="K15" s="21" t="s">
        <v>44</v>
      </c>
      <c r="L15" s="22">
        <v>37.4</v>
      </c>
      <c r="M15" s="22">
        <v>8.58</v>
      </c>
      <c r="N15" s="22">
        <v>39.69</v>
      </c>
      <c r="O15" s="22">
        <v>3.09</v>
      </c>
    </row>
    <row r="16" spans="1:15" x14ac:dyDescent="0.35">
      <c r="E16" s="8" t="s">
        <v>45</v>
      </c>
      <c r="F16" s="11">
        <f>+F14*F15</f>
        <v>2416.9520000000002</v>
      </c>
      <c r="G16" s="11">
        <f>SUMPRODUCT(G10:G13,H10:H13)</f>
        <v>2246.8527022200001</v>
      </c>
      <c r="H16" s="5"/>
      <c r="I16" s="5"/>
      <c r="K16" s="21" t="s">
        <v>46</v>
      </c>
      <c r="L16" s="22">
        <v>31.05</v>
      </c>
      <c r="M16" s="22">
        <v>8.08</v>
      </c>
      <c r="N16" s="22">
        <v>37.31</v>
      </c>
      <c r="O16" s="22">
        <v>3.09</v>
      </c>
    </row>
    <row r="17" spans="1:15" ht="15.5" x14ac:dyDescent="0.35">
      <c r="A17" s="38" t="s">
        <v>47</v>
      </c>
      <c r="B17" s="38"/>
      <c r="C17" s="38"/>
      <c r="F17" s="3"/>
      <c r="K17" s="21" t="s">
        <v>48</v>
      </c>
      <c r="L17" s="22">
        <v>41.63</v>
      </c>
      <c r="M17" s="22">
        <v>11.11</v>
      </c>
      <c r="N17" s="22">
        <v>48.42</v>
      </c>
      <c r="O17" s="22">
        <v>5.95</v>
      </c>
    </row>
    <row r="18" spans="1:15" x14ac:dyDescent="0.35">
      <c r="A18" s="5" t="s">
        <v>49</v>
      </c>
      <c r="B18" s="30">
        <v>11.17</v>
      </c>
      <c r="C18" s="5" t="s">
        <v>28</v>
      </c>
      <c r="E18" s="8" t="s">
        <v>50</v>
      </c>
      <c r="F18" s="8" t="s">
        <v>51</v>
      </c>
      <c r="G18" s="8" t="s">
        <v>52</v>
      </c>
      <c r="H18" s="8" t="s">
        <v>53</v>
      </c>
      <c r="I18" s="8" t="s">
        <v>54</v>
      </c>
      <c r="K18" s="21" t="s">
        <v>55</v>
      </c>
      <c r="L18" s="22">
        <v>39.159999999999997</v>
      </c>
      <c r="M18" s="22">
        <v>13.63</v>
      </c>
      <c r="N18" s="22">
        <v>42.34</v>
      </c>
      <c r="O18" s="22">
        <v>4.8499999999999996</v>
      </c>
    </row>
    <row r="19" spans="1:15" x14ac:dyDescent="0.35">
      <c r="A19" s="5" t="s">
        <v>56</v>
      </c>
      <c r="B19" s="31">
        <v>1.1000000000000001</v>
      </c>
      <c r="C19" s="5" t="s">
        <v>57</v>
      </c>
      <c r="E19" s="5" t="s">
        <v>58</v>
      </c>
      <c r="F19" s="12">
        <f>37*2.2046</f>
        <v>81.5702</v>
      </c>
      <c r="G19" s="32">
        <v>10</v>
      </c>
      <c r="H19" s="32">
        <v>75</v>
      </c>
      <c r="I19" s="13">
        <f>F19*G19*H19</f>
        <v>61177.65</v>
      </c>
      <c r="K19" s="21" t="s">
        <v>59</v>
      </c>
      <c r="L19" s="22">
        <v>35.270000000000003</v>
      </c>
      <c r="M19" s="22">
        <v>13.13</v>
      </c>
      <c r="N19" s="22">
        <v>37.57</v>
      </c>
      <c r="O19" s="22">
        <v>1.54</v>
      </c>
    </row>
    <row r="20" spans="1:15" x14ac:dyDescent="0.35">
      <c r="A20" s="5" t="s">
        <v>60</v>
      </c>
      <c r="B20" s="7">
        <f>(B18+B15)/B19</f>
        <v>95.678136363636369</v>
      </c>
      <c r="C20" s="5" t="s">
        <v>61</v>
      </c>
      <c r="E20" s="5" t="s">
        <v>62</v>
      </c>
      <c r="F20" s="12">
        <f>26*2.2046</f>
        <v>57.319600000000001</v>
      </c>
      <c r="G20" s="32"/>
      <c r="H20" s="32"/>
      <c r="I20" s="13">
        <f t="shared" ref="I20:I22" si="0">F20*G20*H20</f>
        <v>0</v>
      </c>
      <c r="K20" s="21" t="s">
        <v>63</v>
      </c>
      <c r="L20" s="22">
        <v>39.86</v>
      </c>
      <c r="M20" s="22">
        <v>17.170000000000002</v>
      </c>
      <c r="N20" s="22">
        <v>12.43</v>
      </c>
      <c r="O20" s="22">
        <v>3.09</v>
      </c>
    </row>
    <row r="21" spans="1:15" x14ac:dyDescent="0.35">
      <c r="A21" s="5" t="s">
        <v>64</v>
      </c>
      <c r="B21" s="30">
        <f>140.15/6</f>
        <v>23.358333333333334</v>
      </c>
      <c r="C21" s="5" t="s">
        <v>61</v>
      </c>
      <c r="E21" s="5" t="s">
        <v>65</v>
      </c>
      <c r="F21" s="12">
        <f>24*2.2046</f>
        <v>52.910400000000003</v>
      </c>
      <c r="G21" s="32"/>
      <c r="H21" s="32"/>
      <c r="I21" s="13">
        <f t="shared" si="0"/>
        <v>0</v>
      </c>
      <c r="K21" s="21" t="s">
        <v>66</v>
      </c>
      <c r="L21" s="22">
        <v>44.1</v>
      </c>
      <c r="M21" s="22">
        <v>19.190000000000001</v>
      </c>
      <c r="N21" s="22">
        <v>14.29</v>
      </c>
      <c r="O21" s="22">
        <v>3.09</v>
      </c>
    </row>
    <row r="22" spans="1:15" x14ac:dyDescent="0.35">
      <c r="A22" s="5" t="s">
        <v>67</v>
      </c>
      <c r="B22" s="30">
        <v>2</v>
      </c>
      <c r="C22" s="5" t="s">
        <v>61</v>
      </c>
      <c r="E22" s="5" t="s">
        <v>68</v>
      </c>
      <c r="F22" s="12">
        <f>12*2.2046</f>
        <v>26.455200000000001</v>
      </c>
      <c r="G22" s="32">
        <v>10</v>
      </c>
      <c r="H22" s="32">
        <v>75</v>
      </c>
      <c r="I22" s="13">
        <f t="shared" si="0"/>
        <v>19841.400000000001</v>
      </c>
      <c r="K22" s="21" t="s">
        <v>69</v>
      </c>
      <c r="L22" s="22">
        <v>55.03</v>
      </c>
      <c r="M22" s="22">
        <v>20.190000000000001</v>
      </c>
      <c r="N22" s="22">
        <v>11.11</v>
      </c>
      <c r="O22" s="22">
        <v>3.75</v>
      </c>
    </row>
    <row r="23" spans="1:15" x14ac:dyDescent="0.35">
      <c r="A23" s="8" t="s">
        <v>70</v>
      </c>
      <c r="B23" s="15">
        <f>+SUM(B20:B22)</f>
        <v>121.0364696969697</v>
      </c>
      <c r="C23" s="8" t="s">
        <v>61</v>
      </c>
      <c r="E23" s="8" t="s">
        <v>71</v>
      </c>
      <c r="F23" s="5"/>
      <c r="G23" s="5"/>
      <c r="H23" s="5"/>
      <c r="I23" s="9">
        <f>SUM(I19:I22)</f>
        <v>81019.05</v>
      </c>
      <c r="K23" s="21" t="s">
        <v>72</v>
      </c>
      <c r="L23" s="22">
        <v>82.19</v>
      </c>
      <c r="M23" s="22">
        <v>32.31</v>
      </c>
      <c r="N23" s="22">
        <v>22.49</v>
      </c>
      <c r="O23" s="22">
        <v>12.57</v>
      </c>
    </row>
    <row r="24" spans="1:15" x14ac:dyDescent="0.35">
      <c r="E24" s="8" t="s">
        <v>73</v>
      </c>
      <c r="F24" s="5"/>
      <c r="G24" s="5"/>
      <c r="H24" s="5"/>
      <c r="I24" s="14">
        <f>I23/2.2046</f>
        <v>36750</v>
      </c>
      <c r="K24" s="21" t="s">
        <v>74</v>
      </c>
      <c r="L24" s="22">
        <v>84.3</v>
      </c>
      <c r="M24" s="22">
        <v>20.190000000000001</v>
      </c>
      <c r="N24" s="22">
        <v>27.51</v>
      </c>
      <c r="O24" s="22">
        <v>4.8499999999999996</v>
      </c>
    </row>
    <row r="25" spans="1:15" ht="15.5" x14ac:dyDescent="0.35">
      <c r="A25" s="38" t="s">
        <v>75</v>
      </c>
      <c r="B25" s="38"/>
      <c r="C25" s="38"/>
      <c r="K25" s="21" t="s">
        <v>76</v>
      </c>
      <c r="L25" s="22">
        <v>82.89</v>
      </c>
      <c r="M25" s="22">
        <v>20.190000000000001</v>
      </c>
      <c r="N25" s="22">
        <v>24.6</v>
      </c>
      <c r="O25" s="22">
        <v>5.07</v>
      </c>
    </row>
    <row r="26" spans="1:15" x14ac:dyDescent="0.35">
      <c r="A26" s="5" t="s">
        <v>77</v>
      </c>
      <c r="B26" s="32">
        <v>365</v>
      </c>
      <c r="C26" s="5" t="s">
        <v>78</v>
      </c>
      <c r="K26" s="23" t="s">
        <v>79</v>
      </c>
    </row>
    <row r="27" spans="1:15" x14ac:dyDescent="0.35">
      <c r="A27" s="5" t="s">
        <v>80</v>
      </c>
      <c r="B27" s="32">
        <v>45.927999999999997</v>
      </c>
      <c r="C27" s="5" t="s">
        <v>81</v>
      </c>
      <c r="K27" s="24" t="s">
        <v>82</v>
      </c>
    </row>
    <row r="28" spans="1:15" x14ac:dyDescent="0.35">
      <c r="A28" s="5" t="s">
        <v>83</v>
      </c>
      <c r="B28" s="29">
        <f>+B26/B27</f>
        <v>7.9472217383731065</v>
      </c>
      <c r="C28" s="5" t="s">
        <v>24</v>
      </c>
    </row>
    <row r="31" spans="1:15" x14ac:dyDescent="0.35">
      <c r="G31" s="2"/>
    </row>
  </sheetData>
  <sheetProtection algorithmName="SHA-512" hashValue="dog+DIgk8mBrfnbyBL2AesDHQr49nkGj8n3Eh/kd2qBJVycWtpVdriSbpEY7kxO18N7CM4A8eA8QAcAItsHn3w==" saltValue="ehlfcWKWww5QuJBXQlQSNA==" spinCount="100000" sheet="1" objects="1" scenarios="1"/>
  <mergeCells count="6">
    <mergeCell ref="K6:O7"/>
    <mergeCell ref="A4:C4"/>
    <mergeCell ref="A25:C25"/>
    <mergeCell ref="A8:C8"/>
    <mergeCell ref="A17:C17"/>
    <mergeCell ref="E8:I8"/>
  </mergeCells>
  <dataValidations count="1">
    <dataValidation type="list" allowBlank="1" showInputMessage="1" showErrorMessage="1" sqref="B5" xr:uid="{26AA7817-E821-41C8-9E6A-51B2DF81CFDD}">
      <formula1>$K$10:$K$25</formula1>
    </dataValidation>
  </dataValidations>
  <pageMargins left="0.7" right="0.7" top="0.75" bottom="0.75" header="0.3" footer="0.3"/>
  <pageSetup scale="94" orientation="landscape" horizontalDpi="0"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3" ma:contentTypeDescription="Create a new document." ma:contentTypeScope="" ma:versionID="a1016bac3d9641eb59bbe56b5e033655">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deca049e0466116512deb028f7bccd4e"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296AF0-41DE-4CDC-9B39-E4DFA9DD63D5}">
  <ds:schemaRefs>
    <ds:schemaRef ds:uri="http://schemas.microsoft.com/sharepoint/v3/contenttype/forms"/>
  </ds:schemaRefs>
</ds:datastoreItem>
</file>

<file path=customXml/itemProps2.xml><?xml version="1.0" encoding="utf-8"?>
<ds:datastoreItem xmlns:ds="http://schemas.openxmlformats.org/officeDocument/2006/customXml" ds:itemID="{7F286E37-222D-4424-949E-D8D63C591B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CCF40F8-84A9-4FAA-B9B9-76107E412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e526d9-6600-41fe-ac9f-b553f9b8b298"/>
    <ds:schemaRef ds:uri="251cae61-8135-4a88-bc5f-8b47aaccd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 Grant</dc:creator>
  <cp:keywords/>
  <dc:description/>
  <cp:lastModifiedBy>Sydney Fortier</cp:lastModifiedBy>
  <cp:revision/>
  <dcterms:created xsi:type="dcterms:W3CDTF">2021-07-18T21:03:06Z</dcterms:created>
  <dcterms:modified xsi:type="dcterms:W3CDTF">2021-11-22T17:27:58Z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ies>
</file>