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EllenCrane\Canadian Cattlemen's Association\BCRC - Documents\Extension &amp; Communications\Website\Decision tools\Production indicator calculator\"/>
    </mc:Choice>
  </mc:AlternateContent>
  <xr:revisionPtr revIDLastSave="7" documentId="8_{F129F980-D37A-4C59-BBD2-ECACE2BE4C1E}" xr6:coauthVersionLast="45" xr6:coauthVersionMax="45" xr10:uidLastSave="{3C73DC72-30DD-40C8-A1C8-E9C325B71463}"/>
  <bookViews>
    <workbookView xWindow="-120" yWindow="-120" windowWidth="29040" windowHeight="15840" xr2:uid="{00000000-000D-0000-FFFF-FFFF00000000}"/>
  </bookViews>
  <sheets>
    <sheet name="Production_Indicators" sheetId="1" r:id="rId1"/>
    <sheet name="Regional Benchmarks" sheetId="9" state="hidden" r:id="rId2"/>
  </sheets>
  <definedNames>
    <definedName name="_xlnm.Print_Area" localSheetId="0">Production_Indicators!$A$1:$N$69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6" i="1" l="1"/>
  <c r="E56" i="1"/>
  <c r="C56" i="1"/>
  <c r="M43" i="1"/>
  <c r="N43" i="1"/>
  <c r="M38" i="1"/>
  <c r="N38" i="1"/>
  <c r="M35" i="1"/>
  <c r="N35" i="1"/>
  <c r="M32" i="1"/>
  <c r="N32" i="1"/>
  <c r="M29" i="1"/>
  <c r="N29" i="1"/>
  <c r="M26" i="1"/>
  <c r="N26" i="1"/>
  <c r="M18" i="1"/>
  <c r="N18" i="1"/>
  <c r="M13" i="1"/>
  <c r="N13" i="1"/>
  <c r="M16" i="1"/>
  <c r="N16" i="1"/>
  <c r="G13" i="1"/>
  <c r="N51" i="1"/>
  <c r="E44" i="1"/>
  <c r="G43" i="1"/>
  <c r="M41" i="1"/>
  <c r="N41" i="1"/>
  <c r="E39" i="1"/>
  <c r="G38" i="1"/>
  <c r="M24" i="1"/>
  <c r="N24" i="1"/>
  <c r="M23" i="1"/>
  <c r="N23" i="1"/>
  <c r="M22" i="1"/>
  <c r="N22" i="1"/>
  <c r="M21" i="1"/>
  <c r="N21" i="1"/>
  <c r="E19" i="1"/>
  <c r="G18" i="1"/>
  <c r="C57" i="1"/>
  <c r="E35" i="1"/>
  <c r="G59" i="1"/>
  <c r="G58" i="1"/>
  <c r="G57" i="1"/>
  <c r="E59" i="1"/>
  <c r="E58" i="1"/>
  <c r="E57" i="1"/>
  <c r="C59" i="1"/>
  <c r="C58" i="1"/>
  <c r="E48" i="1"/>
  <c r="E49" i="1"/>
  <c r="G48" i="1"/>
  <c r="E33" i="1"/>
  <c r="E30" i="1"/>
  <c r="G46" i="1"/>
  <c r="E51" i="1"/>
  <c r="G51" i="1"/>
  <c r="G21" i="1"/>
  <c r="E36" i="1"/>
  <c r="G35" i="1"/>
  <c r="E26" i="1"/>
  <c r="E27" i="1"/>
  <c r="G26" i="1"/>
  <c r="M11" i="1"/>
  <c r="N11" i="1"/>
  <c r="M58" i="1"/>
  <c r="M57" i="1"/>
  <c r="M56" i="1"/>
  <c r="K58" i="1"/>
  <c r="G29" i="1"/>
  <c r="K57" i="1"/>
  <c r="K56" i="1"/>
  <c r="L58" i="1"/>
  <c r="J29" i="1"/>
  <c r="L57" i="1"/>
  <c r="L56" i="1"/>
  <c r="K51" i="1"/>
  <c r="E43" i="1"/>
  <c r="K43" i="1"/>
  <c r="G24" i="1"/>
  <c r="K24" i="1"/>
  <c r="G23" i="1"/>
  <c r="K23" i="1"/>
  <c r="G22" i="1"/>
  <c r="K22" i="1"/>
  <c r="K38" i="1"/>
  <c r="K29" i="1"/>
  <c r="K26" i="1"/>
  <c r="K18" i="1"/>
  <c r="K13" i="1"/>
  <c r="K11" i="1"/>
  <c r="C36" i="9"/>
  <c r="D36" i="9"/>
  <c r="G32" i="1"/>
  <c r="K21" i="1"/>
  <c r="M10" i="1"/>
  <c r="K16" i="1"/>
  <c r="K35" i="1"/>
  <c r="B14" i="9"/>
  <c r="K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Larson, Kathy</author>
  </authors>
  <commentList>
    <comment ref="H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Larson, Kathy:</t>
        </r>
        <r>
          <rPr>
            <sz val="9"/>
            <color indexed="81"/>
            <rFont val="Tahoma"/>
            <family val="2"/>
          </rPr>
          <t xml:space="preserve">
Note: if multiple dates, use difference between first and last date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tc={5D7ECACB-9237-491A-AB8E-94397CD58522}</author>
    <author>tc={6150ED7A-D2F9-466B-9ED5-14F91B6A7E06}</author>
    <author>tc={B134C0FA-91A1-4EC9-8E58-57A507B2B159}</author>
  </authors>
  <commentList>
    <comment ref="B4" authorId="0" shapeId="0" xr:uid="{5D7ECACB-9237-491A-AB8E-94397CD58522}">
      <text>
        <t>[Threaded comment]
Your version of Excel allows you to read this threaded comment; however, any edits to it will get removed if the file is opened in a newer version of Excel. Learn more: https://go.microsoft.com/fwlink/?linkid=870924
Comment:
    cows</t>
      </text>
    </comment>
    <comment ref="B14" authorId="1" shapeId="0" xr:uid="{6150ED7A-D2F9-466B-9ED5-14F91B6A7E06}">
      <text>
        <t>[Threaded comment]
Your version of Excel allows you to read this threaded comment; however, any edits to it will get removed if the file is opened in a newer version of Excel. Learn more: https://go.microsoft.com/fwlink/?linkid=870924
Comment:
    calves born dead +abortion rate</t>
      </text>
    </comment>
    <comment ref="B29" authorId="2" shapeId="0" xr:uid="{B134C0FA-91A1-4EC9-8E58-57A507B2B159}">
      <text>
        <t>[Threaded comment]
Your version of Excel allows you to read this threaded comment; however, any edits to it will get removed if the file is opened in a newer version of Excel. Learn more: https://go.microsoft.com/fwlink/?linkid=870924
Comment:
    WCCCS 1</t>
      </text>
    </comment>
  </commentList>
</comments>
</file>

<file path=xl/sharedStrings.xml><?xml version="1.0" encoding="utf-8"?>
<sst xmlns="http://schemas.openxmlformats.org/spreadsheetml/2006/main" count="118" uniqueCount="91">
  <si>
    <t>Pregnancy %</t>
  </si>
  <si>
    <t># Females Exposed</t>
  </si>
  <si>
    <t># Females Bred</t>
  </si>
  <si>
    <t># Live Calves Born</t>
  </si>
  <si>
    <t># Females Expected to Calve</t>
  </si>
  <si>
    <t>NDSU Chaps Benchmarks</t>
  </si>
  <si>
    <t xml:space="preserve"> https://www.ag.ndsu.edu/dickinsonrec/chaps-software-1</t>
  </si>
  <si>
    <t># Calves Weaned</t>
  </si>
  <si>
    <t>Breeding Season Length</t>
  </si>
  <si>
    <t>days</t>
  </si>
  <si>
    <t>Calving Span</t>
  </si>
  <si>
    <t>Cow:Bull Ratio</t>
  </si>
  <si>
    <t>(Last Calving Date - First Calving Date)</t>
  </si>
  <si>
    <t>(Pulled Date - In Date)</t>
  </si>
  <si>
    <t>Pregnancy Loss %</t>
  </si>
  <si>
    <t># Females Aborted/Born Dead</t>
  </si>
  <si>
    <t>Calving %</t>
  </si>
  <si>
    <t>Calf Death Loss %</t>
  </si>
  <si>
    <t>Weaning %</t>
  </si>
  <si>
    <t># Calves Died Before Wean</t>
  </si>
  <si>
    <t>Weaning Rate</t>
  </si>
  <si>
    <t>Average age at weaning, days</t>
  </si>
  <si>
    <t>Lbs weaned/cow Exposed</t>
  </si>
  <si>
    <t>Total Lbs Weaned</t>
  </si>
  <si>
    <t>Average Female Weight, lbs</t>
  </si>
  <si>
    <t>Average WW as % of Dam Weight</t>
  </si>
  <si>
    <t>Steer Weights, lbs</t>
  </si>
  <si>
    <t>Heifer Weights, lbs</t>
  </si>
  <si>
    <t>Weights (all calves), lbs</t>
  </si>
  <si>
    <t>aka  % Calf Crop</t>
  </si>
  <si>
    <t>TARGET</t>
  </si>
  <si>
    <t>60-80</t>
  </si>
  <si>
    <t>Ontario</t>
  </si>
  <si>
    <t>Atlantic</t>
  </si>
  <si>
    <t>Regional Benchmark</t>
  </si>
  <si>
    <t>Region</t>
  </si>
  <si>
    <t>Western Canada</t>
  </si>
  <si>
    <t># Calves Born Day 1-21</t>
  </si>
  <si>
    <t># Calves Born Day 22-42</t>
  </si>
  <si>
    <t># Calves Born Day 42+63</t>
  </si>
  <si>
    <t># Calves Born Day 63+</t>
  </si>
  <si>
    <t>S:\CRS\Projects\1998-2014 AB Herd Audit Survey</t>
  </si>
  <si>
    <t>Step 2: Compare to the Industry Targets</t>
  </si>
  <si>
    <t>choose from drop-down list</t>
  </si>
  <si>
    <t>Step 3: Compare to the Regional Benchmark (for cows)</t>
  </si>
  <si>
    <t>Compare your farm numbers to Industry Targets (the ideal) and Regional Benchmarks</t>
  </si>
  <si>
    <t>Regional Benchmarks</t>
  </si>
  <si>
    <t>should this be 459 lbs?</t>
  </si>
  <si>
    <t>Average weaning weight (all calves) lbs</t>
  </si>
  <si>
    <t>Calves Born 1-21 Days</t>
  </si>
  <si>
    <t>Calves Born 22-42 Days</t>
  </si>
  <si>
    <t>Calves Born 43-63 Days</t>
  </si>
  <si>
    <t>Calves Born 64+ Days</t>
  </si>
  <si>
    <t>Adjusted 205 day weaning weight</t>
  </si>
  <si>
    <t>Average Weaning Weight, lbs</t>
  </si>
  <si>
    <t>Females Exposed</t>
  </si>
  <si>
    <t>Females Pregnant</t>
  </si>
  <si>
    <t>Calves Born Alive</t>
  </si>
  <si>
    <t>Calves Weaned</t>
  </si>
  <si>
    <t>Cow-Calf Production Indicators</t>
  </si>
  <si>
    <t>No Target</t>
  </si>
  <si>
    <t>INDICATOR</t>
  </si>
  <si>
    <t>Target</t>
  </si>
  <si>
    <t>Your Numbers</t>
  </si>
  <si>
    <t>Step 1: Enter information in yellow highlighted cells</t>
  </si>
  <si>
    <t>Conception Rate (% Pregnant)</t>
  </si>
  <si>
    <t>Calving Distribution</t>
  </si>
  <si>
    <t>Calving Rate (%)</t>
  </si>
  <si>
    <t>Weaning Rate (%)</t>
  </si>
  <si>
    <t>Breeding Season Length (cut, don't need 2)</t>
  </si>
  <si>
    <t>Inverse of Death Loss</t>
  </si>
  <si>
    <t>Lbs weaned/ Females Exposed</t>
  </si>
  <si>
    <t>Average Mature Cow Weight, lbs</t>
  </si>
  <si>
    <t>Average WW as % of Cow Weight</t>
  </si>
  <si>
    <t>(adjusting bred heifer weight)</t>
  </si>
  <si>
    <t>Weight per day of age (lbs)</t>
  </si>
  <si>
    <t xml:space="preserve">Average weaning weight </t>
  </si>
  <si>
    <t>Average weaning age</t>
  </si>
  <si>
    <t># Bulls used</t>
  </si>
  <si>
    <t>GOLD Indicators</t>
  </si>
  <si>
    <t>Open Cows (%)</t>
  </si>
  <si>
    <t xml:space="preserve">Length of Calving Period </t>
  </si>
  <si>
    <t>Death Loss of Calves (%)</t>
  </si>
  <si>
    <t>Benchmark</t>
  </si>
  <si>
    <t xml:space="preserve">Regional </t>
  </si>
  <si>
    <t>N/A</t>
  </si>
  <si>
    <t>Calf Survival Rate</t>
  </si>
  <si>
    <t>Enter only 15 numbers! In the Yellow shaded cells</t>
  </si>
  <si>
    <r>
      <rPr>
        <b/>
        <sz val="12"/>
        <rFont val="Calibri"/>
        <family val="2"/>
        <scheme val="minor"/>
      </rPr>
      <t>NOTE:</t>
    </r>
    <r>
      <rPr>
        <sz val="12"/>
        <rFont val="Calibri"/>
        <family val="2"/>
        <scheme val="minor"/>
      </rPr>
      <t xml:space="preserve"> If an indicator is below the target or regional benchmark it does not necessarily mean that changing it will be beneficial. The cost:benefit of investing in changing each production indicator must be made on individual operations as they will vary and reflect one's production system and enviornment that you operate in.</t>
    </r>
  </si>
  <si>
    <t>No Benchmark</t>
  </si>
  <si>
    <t>Growth (weaning weight as % of cow weight)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</si>
</sst>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9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  <charset val="1"/>
    </font>
    <font>
      <b/>
      <sz val="12"/>
      <color rgb="FF0070C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7" fillId="0" borderId="0" applyBorder="0">
      <protection locked="0"/>
    </xf>
  </cellStyleXfs>
  <cellXfs count="129">
    <xf numFmtId="0" fontId="0" fillId="0" borderId="0" xfId="0"/>
    <xf numFmtId="0" fontId="4" fillId="0" borderId="0" xfId="0" applyFont="1"/>
    <xf numFmtId="0" fontId="3" fillId="0" borderId="0" xfId="0" applyFont="1"/>
    <xf numFmtId="0" fontId="6" fillId="0" borderId="0" xfId="0" applyFont="1" applyAlignment="1">
      <alignment horizontal="left" vertical="center" readingOrder="1"/>
    </xf>
    <xf numFmtId="0" fontId="0" fillId="0" borderId="0" xfId="0" applyFill="1"/>
    <xf numFmtId="0" fontId="5" fillId="0" borderId="0" xfId="0" applyFont="1"/>
    <xf numFmtId="0" fontId="8" fillId="0" borderId="0" xfId="0" applyFont="1"/>
    <xf numFmtId="0" fontId="9" fillId="0" borderId="0" xfId="0" applyFont="1"/>
    <xf numFmtId="9" fontId="0" fillId="0" borderId="0" xfId="0" applyNumberFormat="1"/>
    <xf numFmtId="0" fontId="0" fillId="3" borderId="0" xfId="0" applyFill="1"/>
    <xf numFmtId="10" fontId="0" fillId="0" borderId="0" xfId="0" applyNumberFormat="1"/>
    <xf numFmtId="9" fontId="0" fillId="0" borderId="0" xfId="0" applyNumberFormat="1" applyFill="1"/>
    <xf numFmtId="9" fontId="0" fillId="0" borderId="0" xfId="1" applyFont="1" applyFill="1"/>
    <xf numFmtId="0" fontId="0" fillId="0" borderId="0" xfId="0" applyAlignment="1">
      <alignment horizontal="center"/>
    </xf>
    <xf numFmtId="0" fontId="14" fillId="0" borderId="0" xfId="0" applyFont="1"/>
    <xf numFmtId="0" fontId="12" fillId="0" borderId="0" xfId="0" applyFont="1"/>
    <xf numFmtId="0" fontId="16" fillId="0" borderId="0" xfId="0" applyFont="1"/>
    <xf numFmtId="0" fontId="17" fillId="0" borderId="0" xfId="0" applyFont="1"/>
    <xf numFmtId="0" fontId="0" fillId="0" borderId="0" xfId="0" applyBorder="1"/>
    <xf numFmtId="0" fontId="12" fillId="0" borderId="0" xfId="0" applyFont="1" applyBorder="1"/>
    <xf numFmtId="0" fontId="12" fillId="0" borderId="7" xfId="0" applyFont="1" applyBorder="1"/>
    <xf numFmtId="0" fontId="12" fillId="0" borderId="10" xfId="0" applyFont="1" applyBorder="1"/>
    <xf numFmtId="0" fontId="0" fillId="4" borderId="12" xfId="0" applyFill="1" applyBorder="1"/>
    <xf numFmtId="0" fontId="12" fillId="4" borderId="12" xfId="0" applyFont="1" applyFill="1" applyBorder="1"/>
    <xf numFmtId="0" fontId="12" fillId="4" borderId="13" xfId="0" applyFont="1" applyFill="1" applyBorder="1"/>
    <xf numFmtId="0" fontId="0" fillId="4" borderId="0" xfId="0" applyFill="1"/>
    <xf numFmtId="0" fontId="12" fillId="4" borderId="12" xfId="0" applyFont="1" applyFill="1" applyBorder="1" applyAlignment="1">
      <alignment vertical="center"/>
    </xf>
    <xf numFmtId="0" fontId="14" fillId="4" borderId="11" xfId="0" applyFont="1" applyFill="1" applyBorder="1" applyAlignment="1">
      <alignment vertical="center"/>
    </xf>
    <xf numFmtId="0" fontId="0" fillId="5" borderId="0" xfId="0" applyFill="1"/>
    <xf numFmtId="0" fontId="18" fillId="0" borderId="0" xfId="0" applyFont="1"/>
    <xf numFmtId="0" fontId="17" fillId="4" borderId="12" xfId="0" applyFont="1" applyFill="1" applyBorder="1"/>
    <xf numFmtId="9" fontId="12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13" fillId="0" borderId="0" xfId="0" applyFont="1"/>
    <xf numFmtId="0" fontId="19" fillId="0" borderId="0" xfId="0" applyFont="1"/>
    <xf numFmtId="0" fontId="0" fillId="0" borderId="0" xfId="0" applyFont="1"/>
    <xf numFmtId="9" fontId="12" fillId="0" borderId="0" xfId="0" applyNumberFormat="1" applyFont="1"/>
    <xf numFmtId="0" fontId="20" fillId="4" borderId="3" xfId="0" applyFont="1" applyFill="1" applyBorder="1"/>
    <xf numFmtId="0" fontId="15" fillId="4" borderId="3" xfId="0" applyFont="1" applyFill="1" applyBorder="1"/>
    <xf numFmtId="0" fontId="21" fillId="4" borderId="3" xfId="0" applyFont="1" applyFill="1" applyBorder="1" applyAlignment="1">
      <alignment horizontal="center"/>
    </xf>
    <xf numFmtId="0" fontId="12" fillId="4" borderId="5" xfId="0" applyFont="1" applyFill="1" applyBorder="1"/>
    <xf numFmtId="0" fontId="14" fillId="4" borderId="2" xfId="0" applyFont="1" applyFill="1" applyBorder="1" applyAlignment="1">
      <alignment vertical="center"/>
    </xf>
    <xf numFmtId="0" fontId="0" fillId="4" borderId="8" xfId="0" applyFill="1" applyBorder="1"/>
    <xf numFmtId="0" fontId="0" fillId="4" borderId="9" xfId="0" applyFill="1" applyBorder="1"/>
    <xf numFmtId="0" fontId="12" fillId="4" borderId="9" xfId="0" applyFont="1" applyFill="1" applyBorder="1"/>
    <xf numFmtId="0" fontId="15" fillId="4" borderId="9" xfId="0" applyFont="1" applyFill="1" applyBorder="1" applyAlignment="1">
      <alignment horizontal="center"/>
    </xf>
    <xf numFmtId="0" fontId="21" fillId="4" borderId="9" xfId="0" applyFont="1" applyFill="1" applyBorder="1" applyAlignment="1">
      <alignment horizontal="center"/>
    </xf>
    <xf numFmtId="0" fontId="12" fillId="4" borderId="10" xfId="0" applyFont="1" applyFill="1" applyBorder="1"/>
    <xf numFmtId="0" fontId="22" fillId="0" borderId="2" xfId="0" applyFont="1" applyBorder="1"/>
    <xf numFmtId="0" fontId="23" fillId="0" borderId="3" xfId="0" applyFont="1" applyBorder="1"/>
    <xf numFmtId="0" fontId="24" fillId="3" borderId="4" xfId="0" applyFont="1" applyFill="1" applyBorder="1" applyAlignment="1" applyProtection="1">
      <alignment horizontal="center"/>
      <protection locked="0"/>
    </xf>
    <xf numFmtId="0" fontId="24" fillId="0" borderId="3" xfId="0" applyFont="1" applyBorder="1"/>
    <xf numFmtId="0" fontId="24" fillId="0" borderId="5" xfId="0" applyFont="1" applyBorder="1"/>
    <xf numFmtId="0" fontId="23" fillId="0" borderId="6" xfId="0" applyFont="1" applyBorder="1"/>
    <xf numFmtId="0" fontId="23" fillId="0" borderId="0" xfId="0" applyFont="1" applyBorder="1"/>
    <xf numFmtId="0" fontId="24" fillId="0" borderId="0" xfId="0" applyFont="1" applyBorder="1"/>
    <xf numFmtId="0" fontId="18" fillId="0" borderId="0" xfId="0" applyFont="1" applyBorder="1" applyAlignment="1">
      <alignment vertical="center"/>
    </xf>
    <xf numFmtId="0" fontId="24" fillId="0" borderId="7" xfId="0" applyFont="1" applyBorder="1"/>
    <xf numFmtId="0" fontId="25" fillId="0" borderId="6" xfId="0" applyFont="1" applyBorder="1"/>
    <xf numFmtId="0" fontId="24" fillId="0" borderId="0" xfId="0" applyFont="1" applyFill="1" applyBorder="1"/>
    <xf numFmtId="0" fontId="24" fillId="3" borderId="0" xfId="2" applyFont="1" applyFill="1" applyBorder="1" applyAlignment="1" applyProtection="1">
      <alignment horizontal="center"/>
      <protection locked="0"/>
    </xf>
    <xf numFmtId="0" fontId="26" fillId="0" borderId="6" xfId="0" applyFont="1" applyBorder="1"/>
    <xf numFmtId="0" fontId="24" fillId="0" borderId="0" xfId="2" applyFont="1" applyFill="1" applyBorder="1"/>
    <xf numFmtId="0" fontId="22" fillId="0" borderId="6" xfId="0" applyFont="1" applyBorder="1"/>
    <xf numFmtId="0" fontId="24" fillId="0" borderId="1" xfId="0" applyFont="1" applyBorder="1" applyAlignment="1">
      <alignment horizontal="center"/>
    </xf>
    <xf numFmtId="0" fontId="24" fillId="3" borderId="1" xfId="0" applyFont="1" applyFill="1" applyBorder="1" applyAlignment="1" applyProtection="1">
      <alignment horizontal="center"/>
      <protection locked="0"/>
    </xf>
    <xf numFmtId="9" fontId="24" fillId="6" borderId="0" xfId="2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24" fillId="3" borderId="0" xfId="0" applyFont="1" applyFill="1" applyBorder="1" applyAlignment="1" applyProtection="1">
      <alignment horizontal="center"/>
      <protection locked="0"/>
    </xf>
    <xf numFmtId="0" fontId="24" fillId="0" borderId="0" xfId="0" applyFont="1" applyFill="1" applyBorder="1" applyAlignment="1" applyProtection="1">
      <alignment horizontal="center"/>
      <protection locked="0"/>
    </xf>
    <xf numFmtId="9" fontId="24" fillId="0" borderId="0" xfId="2" applyNumberFormat="1" applyFont="1" applyFill="1" applyBorder="1" applyAlignment="1">
      <alignment horizontal="center" vertical="center"/>
    </xf>
    <xf numFmtId="9" fontId="24" fillId="0" borderId="0" xfId="0" applyNumberFormat="1" applyFont="1" applyBorder="1"/>
    <xf numFmtId="0" fontId="23" fillId="0" borderId="6" xfId="0" applyFont="1" applyBorder="1" applyAlignment="1">
      <alignment horizontal="right"/>
    </xf>
    <xf numFmtId="0" fontId="23" fillId="0" borderId="0" xfId="0" applyFont="1" applyBorder="1" applyAlignment="1">
      <alignment horizontal="center"/>
    </xf>
    <xf numFmtId="0" fontId="23" fillId="0" borderId="6" xfId="0" applyFont="1" applyFill="1" applyBorder="1" applyAlignment="1">
      <alignment horizontal="right"/>
    </xf>
    <xf numFmtId="9" fontId="24" fillId="0" borderId="0" xfId="0" applyNumberFormat="1" applyFont="1" applyBorder="1" applyAlignment="1">
      <alignment horizontal="center"/>
    </xf>
    <xf numFmtId="0" fontId="24" fillId="0" borderId="1" xfId="0" applyFont="1" applyFill="1" applyBorder="1" applyAlignment="1" applyProtection="1">
      <alignment horizontal="center"/>
      <protection locked="0"/>
    </xf>
    <xf numFmtId="0" fontId="24" fillId="0" borderId="0" xfId="0" applyFont="1" applyFill="1" applyBorder="1" applyAlignment="1">
      <alignment horizontal="center"/>
    </xf>
    <xf numFmtId="0" fontId="27" fillId="0" borderId="6" xfId="0" applyFont="1" applyBorder="1" applyAlignment="1">
      <alignment horizontal="right"/>
    </xf>
    <xf numFmtId="9" fontId="24" fillId="0" borderId="0" xfId="1" applyFont="1" applyBorder="1"/>
    <xf numFmtId="0" fontId="28" fillId="0" borderId="6" xfId="0" applyFont="1" applyBorder="1" applyAlignment="1">
      <alignment horizontal="right"/>
    </xf>
    <xf numFmtId="1" fontId="24" fillId="6" borderId="0" xfId="1" applyNumberFormat="1" applyFont="1" applyFill="1" applyBorder="1" applyAlignment="1">
      <alignment horizontal="center" vertical="center"/>
    </xf>
    <xf numFmtId="1" fontId="24" fillId="0" borderId="0" xfId="1" applyNumberFormat="1" applyFont="1" applyFill="1" applyBorder="1" applyAlignment="1">
      <alignment horizontal="center" vertical="center"/>
    </xf>
    <xf numFmtId="0" fontId="27" fillId="0" borderId="7" xfId="0" applyFont="1" applyBorder="1"/>
    <xf numFmtId="0" fontId="24" fillId="0" borderId="0" xfId="2" applyFont="1" applyFill="1" applyBorder="1" applyAlignment="1" applyProtection="1">
      <alignment horizontal="center"/>
      <protection locked="0"/>
    </xf>
    <xf numFmtId="0" fontId="24" fillId="0" borderId="1" xfId="0" applyFont="1" applyFill="1" applyBorder="1" applyAlignment="1">
      <alignment horizontal="center"/>
    </xf>
    <xf numFmtId="1" fontId="24" fillId="0" borderId="1" xfId="2" applyNumberFormat="1" applyFont="1" applyFill="1" applyBorder="1" applyAlignment="1" applyProtection="1">
      <alignment horizontal="center"/>
      <protection locked="0"/>
    </xf>
    <xf numFmtId="2" fontId="24" fillId="6" borderId="0" xfId="1" applyNumberFormat="1" applyFont="1" applyFill="1" applyBorder="1" applyAlignment="1">
      <alignment horizontal="center" vertical="center"/>
    </xf>
    <xf numFmtId="0" fontId="24" fillId="0" borderId="1" xfId="0" applyFont="1" applyBorder="1"/>
    <xf numFmtId="1" fontId="24" fillId="0" borderId="0" xfId="0" applyNumberFormat="1" applyFont="1" applyBorder="1" applyAlignment="1">
      <alignment horizontal="center"/>
    </xf>
    <xf numFmtId="9" fontId="24" fillId="6" borderId="0" xfId="1" applyFont="1" applyFill="1" applyBorder="1" applyAlignment="1" applyProtection="1">
      <alignment horizontal="center"/>
      <protection locked="0"/>
    </xf>
    <xf numFmtId="0" fontId="26" fillId="0" borderId="8" xfId="0" applyFont="1" applyBorder="1" applyAlignment="1">
      <alignment horizontal="right"/>
    </xf>
    <xf numFmtId="0" fontId="23" fillId="0" borderId="9" xfId="0" applyFont="1" applyBorder="1"/>
    <xf numFmtId="0" fontId="24" fillId="0" borderId="9" xfId="0" applyFont="1" applyBorder="1"/>
    <xf numFmtId="0" fontId="24" fillId="0" borderId="9" xfId="0" applyFont="1" applyBorder="1" applyAlignment="1">
      <alignment horizontal="center"/>
    </xf>
    <xf numFmtId="0" fontId="24" fillId="0" borderId="10" xfId="0" applyFont="1" applyBorder="1"/>
    <xf numFmtId="0" fontId="18" fillId="0" borderId="2" xfId="0" applyFont="1" applyBorder="1" applyAlignment="1">
      <alignment horizontal="left" vertical="center"/>
    </xf>
    <xf numFmtId="0" fontId="23" fillId="0" borderId="5" xfId="0" applyFont="1" applyBorder="1"/>
    <xf numFmtId="0" fontId="23" fillId="0" borderId="0" xfId="0" applyFont="1"/>
    <xf numFmtId="0" fontId="22" fillId="0" borderId="2" xfId="0" applyFont="1" applyBorder="1" applyAlignment="1">
      <alignment horizontal="left" vertical="center"/>
    </xf>
    <xf numFmtId="0" fontId="18" fillId="0" borderId="6" xfId="0" applyFont="1" applyBorder="1" applyAlignment="1" applyProtection="1">
      <alignment horizontal="center"/>
      <protection locked="0"/>
    </xf>
    <xf numFmtId="0" fontId="23" fillId="0" borderId="7" xfId="0" applyFont="1" applyBorder="1"/>
    <xf numFmtId="0" fontId="22" fillId="0" borderId="6" xfId="0" applyFont="1" applyBorder="1" applyAlignment="1">
      <alignment horizontal="center"/>
    </xf>
    <xf numFmtId="0" fontId="24" fillId="0" borderId="6" xfId="0" applyFont="1" applyBorder="1"/>
    <xf numFmtId="0" fontId="18" fillId="4" borderId="6" xfId="0" applyFont="1" applyFill="1" applyBorder="1" applyAlignment="1">
      <alignment horizontal="center"/>
    </xf>
    <xf numFmtId="9" fontId="18" fillId="0" borderId="6" xfId="1" applyFont="1" applyBorder="1" applyAlignment="1" applyProtection="1">
      <alignment horizontal="center"/>
      <protection locked="0"/>
    </xf>
    <xf numFmtId="9" fontId="22" fillId="0" borderId="6" xfId="1" applyFont="1" applyBorder="1" applyAlignment="1">
      <alignment horizontal="center"/>
    </xf>
    <xf numFmtId="9" fontId="18" fillId="0" borderId="6" xfId="0" applyNumberFormat="1" applyFont="1" applyBorder="1" applyAlignment="1">
      <alignment horizontal="center"/>
    </xf>
    <xf numFmtId="0" fontId="24" fillId="0" borderId="6" xfId="0" applyFont="1" applyBorder="1" applyProtection="1">
      <protection locked="0"/>
    </xf>
    <xf numFmtId="0" fontId="24" fillId="4" borderId="6" xfId="0" applyFont="1" applyFill="1" applyBorder="1" applyAlignment="1">
      <alignment horizontal="center"/>
    </xf>
    <xf numFmtId="0" fontId="24" fillId="0" borderId="6" xfId="0" applyFont="1" applyFill="1" applyBorder="1"/>
    <xf numFmtId="0" fontId="22" fillId="0" borderId="6" xfId="0" applyFont="1" applyFill="1" applyBorder="1" applyAlignment="1">
      <alignment horizontal="center"/>
    </xf>
    <xf numFmtId="0" fontId="24" fillId="0" borderId="8" xfId="0" applyFont="1" applyBorder="1"/>
    <xf numFmtId="0" fontId="23" fillId="0" borderId="10" xfId="0" applyFont="1" applyBorder="1"/>
    <xf numFmtId="0" fontId="22" fillId="0" borderId="8" xfId="0" applyFont="1" applyBorder="1" applyAlignment="1">
      <alignment horizontal="center"/>
    </xf>
    <xf numFmtId="9" fontId="23" fillId="0" borderId="0" xfId="0" applyNumberFormat="1" applyFont="1" applyBorder="1" applyAlignment="1">
      <alignment horizontal="center"/>
    </xf>
    <xf numFmtId="0" fontId="18" fillId="0" borderId="8" xfId="0" applyFont="1" applyBorder="1"/>
    <xf numFmtId="9" fontId="24" fillId="0" borderId="9" xfId="0" applyNumberFormat="1" applyFont="1" applyBorder="1" applyAlignment="1">
      <alignment horizontal="center"/>
    </xf>
    <xf numFmtId="0" fontId="12" fillId="3" borderId="0" xfId="0" applyFont="1" applyFill="1"/>
    <xf numFmtId="1" fontId="24" fillId="3" borderId="0" xfId="2" applyNumberFormat="1" applyFont="1" applyFill="1" applyBorder="1" applyAlignment="1" applyProtection="1">
      <alignment horizontal="center"/>
      <protection locked="0"/>
    </xf>
    <xf numFmtId="0" fontId="24" fillId="3" borderId="9" xfId="2" applyFont="1" applyFill="1" applyBorder="1" applyAlignment="1" applyProtection="1">
      <alignment horizontal="center"/>
      <protection locked="0"/>
    </xf>
    <xf numFmtId="0" fontId="22" fillId="0" borderId="6" xfId="0" applyFont="1" applyBorder="1" applyProtection="1"/>
    <xf numFmtId="0" fontId="27" fillId="3" borderId="0" xfId="0" applyFont="1" applyFill="1"/>
    <xf numFmtId="9" fontId="23" fillId="0" borderId="0" xfId="1" applyFont="1" applyBorder="1" applyAlignment="1">
      <alignment horizontal="center"/>
    </xf>
    <xf numFmtId="0" fontId="14" fillId="4" borderId="2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wrapText="1"/>
    </xf>
  </cellXfs>
  <cellStyles count="4">
    <cellStyle name="Good" xfId="2" builtinId="26"/>
    <cellStyle name="Normal" xfId="0" builtinId="0"/>
    <cellStyle name="Normal 2" xfId="3" xr:uid="{00000000-0005-0000-0000-000003000000}"/>
    <cellStyle name="Percent" xfId="1" builtinId="5"/>
  </cellStyles>
  <dxfs count="6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Evaluating where improvements can be made from breeding through weaning</a:t>
            </a:r>
          </a:p>
        </c:rich>
      </c:tx>
      <c:layout>
        <c:manualLayout>
          <c:xMode val="edge"/>
          <c:yMode val="edge"/>
          <c:x val="0.14317032693199666"/>
          <c:y val="2.83018867924528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104713977966023E-2"/>
          <c:y val="0.29742980240677463"/>
          <c:w val="0.87234539008193368"/>
          <c:h val="0.593144406477492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Production_Indicators!$K$54</c:f>
              <c:strCache>
                <c:ptCount val="1"/>
                <c:pt idx="0">
                  <c:v>Your Numbers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Production_Indicators!$J$55:$J$58</c:f>
              <c:strCache>
                <c:ptCount val="4"/>
                <c:pt idx="0">
                  <c:v>Females Exposed</c:v>
                </c:pt>
                <c:pt idx="1">
                  <c:v>Females Pregnant</c:v>
                </c:pt>
                <c:pt idx="2">
                  <c:v>Calves Born Alive</c:v>
                </c:pt>
                <c:pt idx="3">
                  <c:v>Calves Weaned</c:v>
                </c:pt>
              </c:strCache>
            </c:strRef>
          </c:cat>
          <c:val>
            <c:numRef>
              <c:f>Production_Indicators!$K$55:$K$58</c:f>
              <c:numCache>
                <c:formatCode>0%</c:formatCode>
                <c:ptCount val="4"/>
                <c:pt idx="0">
                  <c:v>1</c:v>
                </c:pt>
                <c:pt idx="1">
                  <c:v>0.91666666666666663</c:v>
                </c:pt>
                <c:pt idx="2">
                  <c:v>0.87575757575757573</c:v>
                </c:pt>
                <c:pt idx="3">
                  <c:v>0.77777777777777779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00-4619-8B4B-5F0273B85275}"/>
            </c:ext>
          </c:extLst>
        </c:ser>
        <c:ser>
          <c:idx val="1"/>
          <c:order val="1"/>
          <c:tx>
            <c:strRef>
              <c:f>Production_Indicators!$L$54</c:f>
              <c:strCache>
                <c:ptCount val="1"/>
                <c:pt idx="0">
                  <c:v>Target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Production_Indicators!$J$55:$J$58</c:f>
              <c:strCache>
                <c:ptCount val="4"/>
                <c:pt idx="0">
                  <c:v>Females Exposed</c:v>
                </c:pt>
                <c:pt idx="1">
                  <c:v>Females Pregnant</c:v>
                </c:pt>
                <c:pt idx="2">
                  <c:v>Calves Born Alive</c:v>
                </c:pt>
                <c:pt idx="3">
                  <c:v>Calves Weaned</c:v>
                </c:pt>
              </c:strCache>
            </c:strRef>
          </c:cat>
          <c:val>
            <c:numRef>
              <c:f>Production_Indicators!$L$55:$L$58</c:f>
              <c:numCache>
                <c:formatCode>0%</c:formatCode>
                <c:ptCount val="4"/>
                <c:pt idx="0">
                  <c:v>1</c:v>
                </c:pt>
                <c:pt idx="1">
                  <c:v>0.93</c:v>
                </c:pt>
                <c:pt idx="2">
                  <c:v>0.92</c:v>
                </c:pt>
                <c:pt idx="3">
                  <c:v>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00-4619-8B4B-5F0273B85275}"/>
            </c:ext>
          </c:extLst>
        </c:ser>
        <c:ser>
          <c:idx val="2"/>
          <c:order val="2"/>
          <c:tx>
            <c:strRef>
              <c:f>Production_Indicators!$M$54</c:f>
              <c:strCache>
                <c:ptCount val="1"/>
                <c:pt idx="0">
                  <c:v>Regional Benchmark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Production_Indicators!$J$55:$J$58</c:f>
              <c:strCache>
                <c:ptCount val="4"/>
                <c:pt idx="0">
                  <c:v>Females Exposed</c:v>
                </c:pt>
                <c:pt idx="1">
                  <c:v>Females Pregnant</c:v>
                </c:pt>
                <c:pt idx="2">
                  <c:v>Calves Born Alive</c:v>
                </c:pt>
                <c:pt idx="3">
                  <c:v>Calves Weaned</c:v>
                </c:pt>
              </c:strCache>
            </c:strRef>
          </c:cat>
          <c:val>
            <c:numRef>
              <c:f>Production_Indicators!$M$55:$M$58</c:f>
              <c:numCache>
                <c:formatCode>0%</c:formatCode>
                <c:ptCount val="4"/>
                <c:pt idx="0">
                  <c:v>1</c:v>
                </c:pt>
                <c:pt idx="1">
                  <c:v>0.92</c:v>
                </c:pt>
                <c:pt idx="2">
                  <c:v>0.87</c:v>
                </c:pt>
                <c:pt idx="3">
                  <c:v>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00-4619-8B4B-5F0273B85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6555936"/>
        <c:axId val="336556264"/>
      </c:barChart>
      <c:catAx>
        <c:axId val="33655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6556264"/>
        <c:crosses val="autoZero"/>
        <c:auto val="1"/>
        <c:lblAlgn val="ctr"/>
        <c:lblOffset val="100"/>
        <c:noMultiLvlLbl val="0"/>
      </c:catAx>
      <c:valAx>
        <c:axId val="33655626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6555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0526919589596757"/>
          <c:y val="0.20367924528301887"/>
          <c:w val="0.8644186113099499"/>
          <c:h val="7.1788687739607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2021</xdr:colOff>
      <xdr:row>4</xdr:row>
      <xdr:rowOff>178858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5CB22FC5-86AD-42DC-AFF8-289EBB9E7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827242" cy="1066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8</xdr:col>
      <xdr:colOff>95251</xdr:colOff>
      <xdr:row>52</xdr:row>
      <xdr:rowOff>84666</xdr:rowOff>
    </xdr:from>
    <xdr:to>
      <xdr:col>13</xdr:col>
      <xdr:colOff>1704976</xdr:colOff>
      <xdr:row>68</xdr:row>
      <xdr:rowOff>89745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9C2B1C6-25EE-4725-BEB9-8F6E48F372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355601</xdr:colOff>
      <xdr:row>7</xdr:row>
      <xdr:rowOff>152400</xdr:rowOff>
    </xdr:from>
    <xdr:ext cx="6312727" cy="4135120"/>
    <xdr:pic>
      <xdr:nvPicPr>
        <xdr:cNvPr id="2" name="Picture 1">
          <a:extLst>
            <a:ext uri="{FF2B5EF4-FFF2-40B4-BE49-F238E27FC236}">
              <a16:creationId xmlns:a16="http://schemas.microsoft.com/office/drawing/2014/main" id="{83B51CAD-92A9-4B81-92F1-F50ED2BDA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3101" y="1651000"/>
          <a:ext cx="6312727" cy="4135120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Huiting Huang" id="{ED7FCA65-2498-4E68-A76D-D9ECB040DEF5}" userId="S-1-5-21-2321899713-3597473246-1899595531-4138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4" dT="2019-05-17T16:36:28.15" personId="{ED7FCA65-2498-4E68-A76D-D9ECB040DEF5}" id="{5D7ECACB-9237-491A-AB8E-94397CD58522}">
    <text>cows</text>
  </threadedComment>
  <threadedComment ref="B14" dT="2019-05-17T16:34:58.28" personId="{ED7FCA65-2498-4E68-A76D-D9ECB040DEF5}" id="{6150ED7A-D2F9-466B-9ED5-14F91B6A7E06}">
    <text>calves born dead +abortion rate</text>
  </threadedComment>
  <threadedComment ref="B29" dT="2019-05-17T16:35:18.32" personId="{ED7FCA65-2498-4E68-A76D-D9ECB040DEF5}" id="{B134C0FA-91A1-4EC9-8E58-57A507B2B159}">
    <text>WCCCS 1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59"/>
  <sheetViews>
    <sheetView tabSelected="1" view="pageBreakPreview" topLeftCell="A28" zoomScale="80" zoomScaleNormal="80" zoomScaleSheetLayoutView="80" zoomScalePageLayoutView="40" workbookViewId="0">
      <selection activeCell="C9" sqref="C9"/>
    </sheetView>
  </sheetViews>
  <sheetFormatPr defaultRowHeight="15" x14ac:dyDescent="0.25"/>
  <cols>
    <col min="1" max="1" width="42.5703125" customWidth="1"/>
    <col min="2" max="2" width="2.5703125" customWidth="1"/>
    <col min="3" max="3" width="33.28515625" style="15" customWidth="1"/>
    <col min="4" max="4" width="2.7109375" style="15" customWidth="1"/>
    <col min="5" max="5" width="8.85546875" style="15"/>
    <col min="6" max="6" width="2.28515625" style="15" customWidth="1"/>
    <col min="7" max="8" width="8.85546875" style="15"/>
    <col min="9" max="9" width="2.85546875" style="15" customWidth="1"/>
    <col min="10" max="10" width="7.140625" style="15" customWidth="1"/>
    <col min="11" max="11" width="25.28515625" customWidth="1"/>
    <col min="12" max="12" width="2.28515625" customWidth="1"/>
    <col min="13" max="13" width="15.28515625" style="13" customWidth="1"/>
    <col min="14" max="14" width="25.7109375" bestFit="1" customWidth="1"/>
  </cols>
  <sheetData>
    <row r="2" spans="1:14" ht="23.25" x14ac:dyDescent="0.35">
      <c r="E2" s="16" t="s">
        <v>59</v>
      </c>
    </row>
    <row r="3" spans="1:14" ht="18.75" x14ac:dyDescent="0.3">
      <c r="E3" s="34" t="s">
        <v>45</v>
      </c>
    </row>
    <row r="4" spans="1:14" ht="15.75" x14ac:dyDescent="0.25">
      <c r="A4" s="6"/>
      <c r="E4" s="122" t="s">
        <v>87</v>
      </c>
      <c r="F4" s="118"/>
      <c r="G4" s="118"/>
      <c r="H4" s="118"/>
      <c r="I4" s="118"/>
      <c r="J4" s="118"/>
      <c r="K4" s="9"/>
    </row>
    <row r="5" spans="1:14" ht="28.5" customHeight="1" x14ac:dyDescent="0.35">
      <c r="A5" s="14"/>
      <c r="E5" s="17"/>
    </row>
    <row r="6" spans="1:14" ht="33" customHeight="1" x14ac:dyDescent="0.25">
      <c r="A6" s="128" t="s">
        <v>88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</row>
    <row r="7" spans="1:14" ht="10.9" customHeight="1" thickBot="1" x14ac:dyDescent="0.4">
      <c r="A7" s="14"/>
      <c r="E7" s="17"/>
    </row>
    <row r="8" spans="1:14" ht="28.5" customHeight="1" thickBot="1" x14ac:dyDescent="0.4">
      <c r="A8" s="27" t="s">
        <v>64</v>
      </c>
      <c r="B8" s="22"/>
      <c r="C8" s="26"/>
      <c r="D8" s="23"/>
      <c r="E8" s="30"/>
      <c r="F8" s="23"/>
      <c r="G8" s="23"/>
      <c r="H8" s="24"/>
      <c r="J8" s="124" t="s">
        <v>42</v>
      </c>
      <c r="K8" s="125"/>
      <c r="M8" s="124" t="s">
        <v>44</v>
      </c>
      <c r="N8" s="125"/>
    </row>
    <row r="9" spans="1:14" ht="18.75" customHeight="1" thickBot="1" x14ac:dyDescent="0.3">
      <c r="A9" s="48" t="s">
        <v>35</v>
      </c>
      <c r="B9" s="49"/>
      <c r="C9" s="50" t="s">
        <v>36</v>
      </c>
      <c r="D9" s="51"/>
      <c r="E9" s="51" t="s">
        <v>43</v>
      </c>
      <c r="F9" s="51"/>
      <c r="G9" s="51"/>
      <c r="H9" s="52"/>
      <c r="J9" s="126"/>
      <c r="K9" s="127"/>
      <c r="M9" s="126"/>
      <c r="N9" s="127"/>
    </row>
    <row r="10" spans="1:14" ht="21.6" customHeight="1" x14ac:dyDescent="0.25">
      <c r="A10" s="53"/>
      <c r="B10" s="54"/>
      <c r="C10" s="55"/>
      <c r="D10" s="55"/>
      <c r="E10" s="55"/>
      <c r="F10" s="55"/>
      <c r="G10" s="56" t="s">
        <v>61</v>
      </c>
      <c r="H10" s="57"/>
      <c r="J10" s="96" t="s">
        <v>30</v>
      </c>
      <c r="K10" s="97"/>
      <c r="L10" s="98"/>
      <c r="M10" s="99" t="str">
        <f>IF($C$9="Western Canada","Western Canada",(IF($C$9="Ontario","Ontario",IF($C$9="Atlantic","Atlantic","NA"))))</f>
        <v>Western Canada</v>
      </c>
      <c r="N10" s="97"/>
    </row>
    <row r="11" spans="1:14" ht="15.75" hidden="1" x14ac:dyDescent="0.25">
      <c r="A11" s="58" t="s">
        <v>69</v>
      </c>
      <c r="B11" s="54"/>
      <c r="C11" s="55" t="s">
        <v>13</v>
      </c>
      <c r="D11" s="55"/>
      <c r="E11" s="59"/>
      <c r="F11" s="55"/>
      <c r="G11" s="60">
        <v>65</v>
      </c>
      <c r="H11" s="57" t="s">
        <v>9</v>
      </c>
      <c r="J11" s="100">
        <v>63</v>
      </c>
      <c r="K11" s="101" t="str">
        <f>IF($G11="","",IF($G11&lt;=J11,"Meets or Exceeds Target","Below Target"))</f>
        <v>Below Target</v>
      </c>
      <c r="L11" s="98"/>
      <c r="M11" s="102">
        <f>IF($C$9="Western Canada",'Regional Benchmarks'!$B4,(IF($C$9="Ontario",'Regional Benchmarks'!$C4,IF($C$9="Atlantic",'Regional Benchmarks'!$D4,"NA"))))</f>
        <v>91</v>
      </c>
      <c r="N11" s="101" t="str">
        <f>IF($G11="","",IF($G11&lt;=M11,"Meets/Exceeds Benchmark","Needs Improvement"))</f>
        <v>Meets/Exceeds Benchmark</v>
      </c>
    </row>
    <row r="12" spans="1:14" ht="15.75" hidden="1" x14ac:dyDescent="0.25">
      <c r="A12" s="61"/>
      <c r="B12" s="54"/>
      <c r="C12" s="55"/>
      <c r="D12" s="55"/>
      <c r="E12" s="59"/>
      <c r="F12" s="55"/>
      <c r="G12" s="62"/>
      <c r="H12" s="57"/>
      <c r="J12" s="103"/>
      <c r="K12" s="101"/>
      <c r="L12" s="98"/>
      <c r="M12" s="102"/>
      <c r="N12" s="101"/>
    </row>
    <row r="13" spans="1:14" ht="15.75" x14ac:dyDescent="0.25">
      <c r="A13" s="63" t="s">
        <v>11</v>
      </c>
      <c r="B13" s="54"/>
      <c r="C13" s="64" t="s">
        <v>1</v>
      </c>
      <c r="D13" s="55"/>
      <c r="E13" s="65">
        <v>360</v>
      </c>
      <c r="F13" s="55"/>
      <c r="G13" s="66" t="str">
        <f>ROUND(E13/E14,0)&amp;" : 1"</f>
        <v>20 : 1</v>
      </c>
      <c r="H13" s="57"/>
      <c r="J13" s="104">
        <v>25</v>
      </c>
      <c r="K13" s="101" t="str">
        <f>IF($G13="","",IF($G13&lt;=J13,"Meets or Exceeds Target","Below Target"))</f>
        <v>Below Target</v>
      </c>
      <c r="L13" s="98"/>
      <c r="M13" s="102">
        <f>IF($C$9="Western Canada",'Regional Benchmarks'!$B6,(IF($C$9="Ontario",'Regional Benchmarks'!$C6,IF($C$9="Atlantic",'Regional Benchmarks'!$D6,"NA"))))</f>
        <v>21</v>
      </c>
      <c r="N13" s="101" t="str">
        <f>IF($M13=0,"No Benchmark",IF($G13&lt;=M13,"Meets or Exceeds Target","Below Benchmark"))</f>
        <v>Below Benchmark</v>
      </c>
    </row>
    <row r="14" spans="1:14" ht="15.75" x14ac:dyDescent="0.25">
      <c r="A14" s="63"/>
      <c r="B14" s="54"/>
      <c r="C14" s="67" t="s">
        <v>78</v>
      </c>
      <c r="D14" s="55"/>
      <c r="E14" s="68">
        <v>18</v>
      </c>
      <c r="F14" s="55"/>
      <c r="G14" s="62"/>
      <c r="H14" s="57"/>
      <c r="J14" s="103"/>
      <c r="K14" s="101"/>
      <c r="L14" s="98"/>
      <c r="M14" s="102"/>
      <c r="N14" s="101"/>
    </row>
    <row r="15" spans="1:14" ht="15.75" x14ac:dyDescent="0.25">
      <c r="A15" s="63"/>
      <c r="B15" s="54"/>
      <c r="C15" s="55"/>
      <c r="D15" s="55"/>
      <c r="E15" s="59"/>
      <c r="F15" s="55"/>
      <c r="G15" s="62"/>
      <c r="H15" s="57"/>
      <c r="J15" s="103"/>
      <c r="K15" s="101"/>
      <c r="L15" s="98"/>
      <c r="M15" s="102"/>
      <c r="N15" s="101"/>
    </row>
    <row r="16" spans="1:14" ht="15.75" x14ac:dyDescent="0.25">
      <c r="A16" s="121" t="s">
        <v>81</v>
      </c>
      <c r="B16" s="54"/>
      <c r="C16" s="55" t="s">
        <v>12</v>
      </c>
      <c r="D16" s="55"/>
      <c r="E16" s="59"/>
      <c r="F16" s="55"/>
      <c r="G16" s="60">
        <v>72</v>
      </c>
      <c r="H16" s="57" t="s">
        <v>9</v>
      </c>
      <c r="J16" s="100" t="s">
        <v>31</v>
      </c>
      <c r="K16" s="101" t="str">
        <f>IF($G16="","",IF($G16&lt;=80,"Meets or Exceeds Target","Needs Improvement"))</f>
        <v>Meets or Exceeds Target</v>
      </c>
      <c r="L16" s="98"/>
      <c r="M16" s="102">
        <f>IF($C$9="Western Canada",'Regional Benchmarks'!$B9,(IF($C$9="Ontario",'Regional Benchmarks'!$C9,IF($C$9="Atlantic",'Regional Benchmarks'!$D9,"NA"))))</f>
        <v>87</v>
      </c>
      <c r="N16" s="101" t="str">
        <f>IF($G16="","",IF($G16&lt;=M16,"Meets/Exceeds Benchmark","Below Benchmark"))</f>
        <v>Meets/Exceeds Benchmark</v>
      </c>
    </row>
    <row r="17" spans="1:14" ht="15.75" x14ac:dyDescent="0.25">
      <c r="A17" s="53"/>
      <c r="B17" s="54"/>
      <c r="C17" s="55"/>
      <c r="D17" s="55"/>
      <c r="E17" s="55"/>
      <c r="F17" s="55"/>
      <c r="G17" s="55"/>
      <c r="H17" s="57"/>
      <c r="J17" s="103"/>
      <c r="K17" s="101"/>
      <c r="L17" s="98"/>
      <c r="M17" s="102"/>
      <c r="N17" s="101"/>
    </row>
    <row r="18" spans="1:14" ht="15.75" x14ac:dyDescent="0.25">
      <c r="A18" s="63" t="s">
        <v>65</v>
      </c>
      <c r="B18" s="54"/>
      <c r="C18" s="64" t="s">
        <v>2</v>
      </c>
      <c r="D18" s="55"/>
      <c r="E18" s="65">
        <v>330</v>
      </c>
      <c r="F18" s="55"/>
      <c r="G18" s="66">
        <f>E18/E19</f>
        <v>0.91666666666666663</v>
      </c>
      <c r="H18" s="57"/>
      <c r="J18" s="105">
        <v>0.93</v>
      </c>
      <c r="K18" s="101" t="str">
        <f>IF($G18=0,"",IF($G18&gt;=J18,"Meets or Exceeds Target","Below Target"))</f>
        <v>Below Target</v>
      </c>
      <c r="L18" s="98"/>
      <c r="M18" s="106">
        <f>IF($C$9="Western Canada",'Regional Benchmarks'!$B11,(IF($C$9="Ontario",'Regional Benchmarks'!$C11,IF($C$9="Atlantic",'Regional Benchmarks'!$D11,"NA"))))</f>
        <v>0.92</v>
      </c>
      <c r="N18" s="101" t="str">
        <f>IF($M18=0,"No Benchmark",IF($G18&gt;=M18,"Meets or Exceeds Target","Below Benchmark"))</f>
        <v>Below Benchmark</v>
      </c>
    </row>
    <row r="19" spans="1:14" ht="15.75" x14ac:dyDescent="0.25">
      <c r="A19" s="53"/>
      <c r="B19" s="54"/>
      <c r="C19" s="67" t="s">
        <v>1</v>
      </c>
      <c r="D19" s="55"/>
      <c r="E19" s="69">
        <f>+E13</f>
        <v>360</v>
      </c>
      <c r="F19" s="55"/>
      <c r="G19" s="70"/>
      <c r="H19" s="57"/>
      <c r="J19" s="103"/>
      <c r="K19" s="101"/>
      <c r="L19" s="98"/>
      <c r="M19" s="102"/>
      <c r="N19" s="101"/>
    </row>
    <row r="20" spans="1:14" ht="15.75" x14ac:dyDescent="0.25">
      <c r="A20" s="63" t="s">
        <v>66</v>
      </c>
      <c r="B20" s="54"/>
      <c r="C20" s="55"/>
      <c r="D20" s="55"/>
      <c r="E20" s="55"/>
      <c r="F20" s="55"/>
      <c r="G20" s="71"/>
      <c r="H20" s="57"/>
      <c r="J20" s="103"/>
      <c r="K20" s="101"/>
      <c r="L20" s="98"/>
      <c r="M20" s="102"/>
      <c r="N20" s="101"/>
    </row>
    <row r="21" spans="1:14" ht="15.75" x14ac:dyDescent="0.25">
      <c r="A21" s="72" t="s">
        <v>49</v>
      </c>
      <c r="B21" s="54"/>
      <c r="C21" s="73" t="s">
        <v>37</v>
      </c>
      <c r="D21" s="55"/>
      <c r="E21" s="68">
        <v>231</v>
      </c>
      <c r="F21" s="55"/>
      <c r="G21" s="66">
        <f>E21/SUM(E$21:E$24)</f>
        <v>0.75986842105263153</v>
      </c>
      <c r="H21" s="57"/>
      <c r="J21" s="107">
        <v>0.6</v>
      </c>
      <c r="K21" s="101" t="str">
        <f>IF(J21=0,"",IF(G21&gt;=0.6,"Meets or Exceeds Target","Needs Improvement"))</f>
        <v>Meets or Exceeds Target</v>
      </c>
      <c r="L21" s="98"/>
      <c r="M21" s="106">
        <f>IF($C$9="Western Canada",'Regional Benchmarks'!$B29,(IF($C$9="Ontario",'Regional Benchmarks'!$C29,IF($C$9="Atlantic",'Regional Benchmarks'!$D29,"NA"))))</f>
        <v>0.55000000000000004</v>
      </c>
      <c r="N21" s="101" t="str">
        <f>IF($G21="","",IF($G21&lt;=M21,"Meets/Exceeds Benchmark","Below Benchmark"))</f>
        <v>Below Benchmark</v>
      </c>
    </row>
    <row r="22" spans="1:14" ht="15.75" x14ac:dyDescent="0.25">
      <c r="A22" s="72" t="s">
        <v>50</v>
      </c>
      <c r="B22" s="54"/>
      <c r="C22" s="73" t="s">
        <v>38</v>
      </c>
      <c r="D22" s="55"/>
      <c r="E22" s="68">
        <v>57</v>
      </c>
      <c r="F22" s="55"/>
      <c r="G22" s="66">
        <f>E22/SUM(E$21:E$24)</f>
        <v>0.1875</v>
      </c>
      <c r="H22" s="57"/>
      <c r="J22" s="107">
        <v>0.25</v>
      </c>
      <c r="K22" s="101" t="str">
        <f>IF(J22=0,"",IF(G22&gt;=0.6,"Meets or Exceeds Target","Below Target"))</f>
        <v>Below Target</v>
      </c>
      <c r="L22" s="98"/>
      <c r="M22" s="106">
        <f>IF($C$9="Western Canada",'Regional Benchmarks'!$B30,(IF($C$9="Ontario",'Regional Benchmarks'!$C30,IF($C$9="Atlantic",'Regional Benchmarks'!$D30,"NA"))))</f>
        <v>0.3</v>
      </c>
      <c r="N22" s="101" t="str">
        <f>IF($G22=0,"",IF($G22&gt;=M22,"Meets or Exceeds Target","Below Benchmark"))</f>
        <v>Below Benchmark</v>
      </c>
    </row>
    <row r="23" spans="1:14" ht="15.75" x14ac:dyDescent="0.25">
      <c r="A23" s="72" t="s">
        <v>51</v>
      </c>
      <c r="B23" s="54"/>
      <c r="C23" s="73" t="s">
        <v>39</v>
      </c>
      <c r="D23" s="55"/>
      <c r="E23" s="68">
        <v>11</v>
      </c>
      <c r="F23" s="55"/>
      <c r="G23" s="66">
        <f>E23/SUM(E$21:E$24)</f>
        <v>3.6184210526315791E-2</v>
      </c>
      <c r="H23" s="57"/>
      <c r="J23" s="107">
        <v>0.1</v>
      </c>
      <c r="K23" s="101" t="str">
        <f>IF(J23=0,"",IF(G23&gt;=0.6,"Meets or Exceeds Target","Below Target"))</f>
        <v>Below Target</v>
      </c>
      <c r="L23" s="98"/>
      <c r="M23" s="106">
        <f>IF($C$9="Western Canada",'Regional Benchmarks'!$B31,(IF($C$9="Ontario",'Regional Benchmarks'!$C31,IF($C$9="Atlantic",'Regional Benchmarks'!$D31,"NA"))))</f>
        <v>0.1</v>
      </c>
      <c r="N23" s="101" t="str">
        <f>IF($G23=0,"",IF($G23&gt;=M23,"Meets or Exceeds Target","Below Benchmark"))</f>
        <v>Below Benchmark</v>
      </c>
    </row>
    <row r="24" spans="1:14" ht="15.75" x14ac:dyDescent="0.25">
      <c r="A24" s="74" t="s">
        <v>52</v>
      </c>
      <c r="B24" s="54"/>
      <c r="C24" s="73" t="s">
        <v>40</v>
      </c>
      <c r="D24" s="55"/>
      <c r="E24" s="68">
        <v>5</v>
      </c>
      <c r="F24" s="55"/>
      <c r="G24" s="66">
        <f>E24/SUM(E$21:E$24)</f>
        <v>1.6447368421052631E-2</v>
      </c>
      <c r="H24" s="57"/>
      <c r="J24" s="107">
        <v>0.05</v>
      </c>
      <c r="K24" s="101" t="str">
        <f>IF(J24=0,"",IF(G24&gt;=0.6,"Meets or Exceeds Target","Below Target"))</f>
        <v>Below Target</v>
      </c>
      <c r="L24" s="98"/>
      <c r="M24" s="106">
        <f>IF($C$9="Western Canada",'Regional Benchmarks'!$B32,(IF($C$9="Ontario",'Regional Benchmarks'!$C32,IF($C$9="Atlantic",'Regional Benchmarks'!$D32,"NA"))))</f>
        <v>0.05</v>
      </c>
      <c r="N24" s="101" t="str">
        <f>IF($G24=0,"",IF($G24&gt;=M24,"Meets or Exceeds Target","Below Benchmark"))</f>
        <v>Below Benchmark</v>
      </c>
    </row>
    <row r="25" spans="1:14" ht="15.75" x14ac:dyDescent="0.25">
      <c r="A25" s="53"/>
      <c r="B25" s="54"/>
      <c r="C25" s="55"/>
      <c r="D25" s="55"/>
      <c r="E25" s="55"/>
      <c r="F25" s="55"/>
      <c r="G25" s="75"/>
      <c r="H25" s="57"/>
      <c r="J25" s="103"/>
      <c r="K25" s="101"/>
      <c r="L25" s="98"/>
      <c r="M25" s="102"/>
      <c r="N25" s="101"/>
    </row>
    <row r="26" spans="1:14" ht="15.75" x14ac:dyDescent="0.25">
      <c r="A26" s="63" t="s">
        <v>14</v>
      </c>
      <c r="B26" s="54"/>
      <c r="C26" s="64" t="s">
        <v>15</v>
      </c>
      <c r="D26" s="55"/>
      <c r="E26" s="76">
        <f>+E18-E29</f>
        <v>41</v>
      </c>
      <c r="F26" s="55"/>
      <c r="G26" s="66">
        <f>E26/E27</f>
        <v>0.12424242424242424</v>
      </c>
      <c r="H26" s="57"/>
      <c r="J26" s="105">
        <v>0.01</v>
      </c>
      <c r="K26" s="101" t="str">
        <f>IF($G26=0,"",IF($G26&lt;=J26,"Meets or Exceeds Target","Below Target"))</f>
        <v>Below Target</v>
      </c>
      <c r="L26" s="98"/>
      <c r="M26" s="106">
        <f>IF($C$9="Western Canada",'Regional Benchmarks'!$B14,(IF($C$9="Ontario",'Regional Benchmarks'!$C14,IF($C$9="Atlantic",'Regional Benchmarks'!$D14,"NA"))))</f>
        <v>4.3999999999999997E-2</v>
      </c>
      <c r="N26" s="101" t="str">
        <f>IF($M26=0,"No Benchmark",IF($G26&lt;=M26,"Meets/Exceeds Benchmark","Below Benchmark"))</f>
        <v>Below Benchmark</v>
      </c>
    </row>
    <row r="27" spans="1:14" ht="15.75" x14ac:dyDescent="0.25">
      <c r="A27" s="53"/>
      <c r="B27" s="54"/>
      <c r="C27" s="67" t="s">
        <v>4</v>
      </c>
      <c r="D27" s="55"/>
      <c r="E27" s="69">
        <f>+E18</f>
        <v>330</v>
      </c>
      <c r="F27" s="55"/>
      <c r="G27" s="70"/>
      <c r="H27" s="57"/>
      <c r="J27" s="108"/>
      <c r="K27" s="101"/>
      <c r="L27" s="98"/>
      <c r="M27" s="102"/>
      <c r="N27" s="101"/>
    </row>
    <row r="28" spans="1:14" ht="15.75" x14ac:dyDescent="0.25">
      <c r="A28" s="53"/>
      <c r="B28" s="54"/>
      <c r="C28" s="55"/>
      <c r="D28" s="55"/>
      <c r="E28" s="55"/>
      <c r="F28" s="55"/>
      <c r="G28" s="75"/>
      <c r="H28" s="57"/>
      <c r="J28" s="103"/>
      <c r="K28" s="101"/>
      <c r="L28" s="98"/>
      <c r="M28" s="102"/>
      <c r="N28" s="101"/>
    </row>
    <row r="29" spans="1:14" ht="15.75" x14ac:dyDescent="0.25">
      <c r="A29" s="63" t="s">
        <v>67</v>
      </c>
      <c r="B29" s="54"/>
      <c r="C29" s="64" t="s">
        <v>3</v>
      </c>
      <c r="D29" s="55"/>
      <c r="E29" s="65">
        <v>289</v>
      </c>
      <c r="F29" s="55"/>
      <c r="G29" s="66">
        <f>E29/E30</f>
        <v>0.87575757575757573</v>
      </c>
      <c r="H29" s="57"/>
      <c r="J29" s="105">
        <f>J18-J26</f>
        <v>0.92</v>
      </c>
      <c r="K29" s="101" t="str">
        <f>IF($G29=0,"",IF($G29&gt;=J29,"Meets or Exceeds Target","Below Target"))</f>
        <v>Below Target</v>
      </c>
      <c r="L29" s="98"/>
      <c r="M29" s="106">
        <f>IF($C$9="Western Canada",'Regional Benchmarks'!$B17,(IF($C$9="Ontario",'Regional Benchmarks'!$C17,IF($C$9="Atlantic",'Regional Benchmarks'!$D17,"NA"))))</f>
        <v>0.87</v>
      </c>
      <c r="N29" s="101" t="str">
        <f>IF($M29=0,"No Benchmark",IF($G29&gt;=M29,"Meets or Exceeds Target","Below Benchmark"))</f>
        <v>Meets or Exceeds Target</v>
      </c>
    </row>
    <row r="30" spans="1:14" ht="15.75" x14ac:dyDescent="0.25">
      <c r="A30" s="53"/>
      <c r="B30" s="54"/>
      <c r="C30" s="67" t="s">
        <v>2</v>
      </c>
      <c r="D30" s="55"/>
      <c r="E30" s="69">
        <f>+E18</f>
        <v>330</v>
      </c>
      <c r="F30" s="55"/>
      <c r="G30" s="70"/>
      <c r="H30" s="57"/>
      <c r="J30" s="103"/>
      <c r="K30" s="101"/>
      <c r="L30" s="98"/>
      <c r="M30" s="102"/>
      <c r="N30" s="101"/>
    </row>
    <row r="31" spans="1:14" ht="15.75" x14ac:dyDescent="0.25">
      <c r="A31" s="53"/>
      <c r="B31" s="54"/>
      <c r="C31" s="55"/>
      <c r="D31" s="55"/>
      <c r="E31" s="55"/>
      <c r="F31" s="55"/>
      <c r="G31" s="75"/>
      <c r="H31" s="57"/>
      <c r="J31" s="103"/>
      <c r="K31" s="101"/>
      <c r="L31" s="98"/>
      <c r="M31" s="102"/>
      <c r="N31" s="101"/>
    </row>
    <row r="32" spans="1:14" ht="15.75" x14ac:dyDescent="0.25">
      <c r="A32" s="63" t="s">
        <v>17</v>
      </c>
      <c r="B32" s="54"/>
      <c r="C32" s="64" t="s">
        <v>19</v>
      </c>
      <c r="D32" s="55"/>
      <c r="E32" s="65">
        <v>9</v>
      </c>
      <c r="F32" s="55"/>
      <c r="G32" s="66">
        <f>E32/E33</f>
        <v>3.1141868512110725E-2</v>
      </c>
      <c r="H32" s="57"/>
      <c r="J32" s="105">
        <v>0.04</v>
      </c>
      <c r="K32" s="101" t="str">
        <f>IF($G32=0,"",IF($G32&lt;=J32,"Meets or Exceeds Target","Needs Improvement"))</f>
        <v>Meets or Exceeds Target</v>
      </c>
      <c r="L32" s="98"/>
      <c r="M32" s="106">
        <f>IF($C$9="Western Canada",'Regional Benchmarks'!$B20,(IF($C$9="Ontario",'Regional Benchmarks'!$C20,IF($C$9="Atlantic",'Regional Benchmarks'!$D20,"NA"))))</f>
        <v>5.3999999999999999E-2</v>
      </c>
      <c r="N32" s="101" t="str">
        <f>IF($M32=0,"No Benchmark",IF($G32&gt;=M32,"Meets or Exceeds Target","Below Benchmark"))</f>
        <v>Below Benchmark</v>
      </c>
    </row>
    <row r="33" spans="1:14" ht="15.75" x14ac:dyDescent="0.25">
      <c r="A33" s="63"/>
      <c r="B33" s="54"/>
      <c r="C33" s="77" t="s">
        <v>3</v>
      </c>
      <c r="D33" s="55"/>
      <c r="E33" s="69">
        <f>+E29</f>
        <v>289</v>
      </c>
      <c r="F33" s="55"/>
      <c r="G33" s="70"/>
      <c r="H33" s="57"/>
      <c r="J33" s="103"/>
      <c r="K33" s="101"/>
      <c r="L33" s="98"/>
      <c r="M33" s="102"/>
      <c r="N33" s="101"/>
    </row>
    <row r="34" spans="1:14" ht="15.75" x14ac:dyDescent="0.25">
      <c r="A34" s="53"/>
      <c r="B34" s="54"/>
      <c r="C34" s="55"/>
      <c r="D34" s="55"/>
      <c r="E34" s="55"/>
      <c r="F34" s="55"/>
      <c r="G34" s="75"/>
      <c r="H34" s="57"/>
      <c r="J34" s="103"/>
      <c r="K34" s="101"/>
      <c r="L34" s="98"/>
      <c r="M34" s="102"/>
      <c r="N34" s="101"/>
    </row>
    <row r="35" spans="1:14" ht="15.75" x14ac:dyDescent="0.25">
      <c r="A35" s="63" t="s">
        <v>86</v>
      </c>
      <c r="B35" s="54"/>
      <c r="C35" s="64" t="s">
        <v>7</v>
      </c>
      <c r="D35" s="55"/>
      <c r="E35" s="76">
        <f>+E38</f>
        <v>280</v>
      </c>
      <c r="F35" s="55"/>
      <c r="G35" s="66">
        <f>E35/E36</f>
        <v>0.96885813148788924</v>
      </c>
      <c r="H35" s="57"/>
      <c r="J35" s="105">
        <v>0.95</v>
      </c>
      <c r="K35" s="101" t="str">
        <f>IF($G35=0,"",IF($G35&gt;=J35,"Meets or Exceeds Target","Needs Improvement"))</f>
        <v>Meets or Exceeds Target</v>
      </c>
      <c r="L35" s="98"/>
      <c r="M35" s="106">
        <f>IF($C$9="Western Canada",'Regional Benchmarks'!$B26,(IF($C$9="Ontario",'Regional Benchmarks'!$C26,IF($C$9="Atlantic",'Regional Benchmarks'!$D26,"NA"))))</f>
        <v>0.86</v>
      </c>
      <c r="N35" s="101" t="str">
        <f>IF($M35=0,"No Benchmark",IF($G35&lt;=M35,"Meets/Exceeds Benchmark","Below Benchmark"))</f>
        <v>Below Benchmark</v>
      </c>
    </row>
    <row r="36" spans="1:14" ht="15.75" x14ac:dyDescent="0.25">
      <c r="A36" s="78" t="s">
        <v>70</v>
      </c>
      <c r="B36" s="54"/>
      <c r="C36" s="77" t="s">
        <v>3</v>
      </c>
      <c r="D36" s="55"/>
      <c r="E36" s="69">
        <f>+E29</f>
        <v>289</v>
      </c>
      <c r="F36" s="55"/>
      <c r="G36" s="70"/>
      <c r="H36" s="57"/>
      <c r="J36" s="103"/>
      <c r="K36" s="101"/>
      <c r="L36" s="98"/>
      <c r="M36" s="102"/>
      <c r="N36" s="101"/>
    </row>
    <row r="37" spans="1:14" ht="15.75" x14ac:dyDescent="0.25">
      <c r="A37" s="63"/>
      <c r="B37" s="54"/>
      <c r="C37" s="79"/>
      <c r="D37" s="55"/>
      <c r="E37" s="69"/>
      <c r="F37" s="55"/>
      <c r="G37" s="70"/>
      <c r="H37" s="57"/>
      <c r="J37" s="103"/>
      <c r="K37" s="101"/>
      <c r="L37" s="98"/>
      <c r="M37" s="106"/>
      <c r="N37" s="101"/>
    </row>
    <row r="38" spans="1:14" ht="15.75" x14ac:dyDescent="0.25">
      <c r="A38" s="63" t="s">
        <v>68</v>
      </c>
      <c r="B38" s="54"/>
      <c r="C38" s="64" t="s">
        <v>7</v>
      </c>
      <c r="D38" s="55"/>
      <c r="E38" s="65">
        <v>280</v>
      </c>
      <c r="F38" s="55"/>
      <c r="G38" s="66">
        <f>E38/E39</f>
        <v>0.77777777777777779</v>
      </c>
      <c r="H38" s="57"/>
      <c r="J38" s="105">
        <v>0.85</v>
      </c>
      <c r="K38" s="101" t="str">
        <f>IF($G38=0,"",IF($G38&gt;=J38,"Meets or Exceeds Target","Below Target"))</f>
        <v>Below Target</v>
      </c>
      <c r="L38" s="98"/>
      <c r="M38" s="106">
        <f>IF($C$9="Western Canada",'Regional Benchmarks'!$B23,(IF($C$9="Ontario",'Regional Benchmarks'!$C23,IF($C$9="Atlantic",'Regional Benchmarks'!$D23,"NA"))))</f>
        <v>0.85</v>
      </c>
      <c r="N38" s="101" t="str">
        <f>IF($M38=0,"No Benchmark",IF($G38&gt;=M38,"Meets or Exceeds Target","Below Benchmark"))</f>
        <v>Below Benchmark</v>
      </c>
    </row>
    <row r="39" spans="1:14" ht="15.75" x14ac:dyDescent="0.25">
      <c r="A39" s="80"/>
      <c r="B39" s="54"/>
      <c r="C39" s="77" t="s">
        <v>1</v>
      </c>
      <c r="D39" s="55"/>
      <c r="E39" s="69">
        <f>+E13</f>
        <v>360</v>
      </c>
      <c r="F39" s="55"/>
      <c r="G39" s="70"/>
      <c r="H39" s="57"/>
      <c r="J39" s="103"/>
      <c r="K39" s="101"/>
      <c r="L39" s="98"/>
      <c r="M39" s="102"/>
      <c r="N39" s="101"/>
    </row>
    <row r="40" spans="1:14" ht="15.75" x14ac:dyDescent="0.25">
      <c r="A40" s="53"/>
      <c r="B40" s="54"/>
      <c r="C40" s="55"/>
      <c r="D40" s="55"/>
      <c r="E40" s="55"/>
      <c r="F40" s="55"/>
      <c r="G40" s="75"/>
      <c r="H40" s="57"/>
      <c r="J40" s="103"/>
      <c r="K40" s="101"/>
      <c r="L40" s="98"/>
      <c r="M40" s="102"/>
      <c r="N40" s="101"/>
    </row>
    <row r="41" spans="1:14" ht="15.75" x14ac:dyDescent="0.25">
      <c r="A41" s="63" t="s">
        <v>48</v>
      </c>
      <c r="B41" s="54"/>
      <c r="C41" s="55"/>
      <c r="D41" s="55"/>
      <c r="E41" s="119">
        <v>523</v>
      </c>
      <c r="F41" s="55"/>
      <c r="G41" s="55"/>
      <c r="H41" s="57"/>
      <c r="J41" s="109" t="s">
        <v>85</v>
      </c>
      <c r="K41" s="101" t="s">
        <v>60</v>
      </c>
      <c r="L41" s="98"/>
      <c r="M41" s="102">
        <f>IF($C$9="Western Canada",'Regional Benchmarks'!$B36,(IF($C$9="Ontario",'Regional Benchmarks'!$C36,IF($C$9="Atlantic",'Regional Benchmarks'!$D36,"NA"))))</f>
        <v>570</v>
      </c>
      <c r="N41" s="101" t="str">
        <f>IF($E41=0,"",IF($E41&gt;=M41,"Meets or Exceeds Target","Below Benchmark"))</f>
        <v>Below Benchmark</v>
      </c>
    </row>
    <row r="42" spans="1:14" ht="15.75" x14ac:dyDescent="0.25">
      <c r="A42" s="53"/>
      <c r="B42" s="54"/>
      <c r="C42" s="55"/>
      <c r="D42" s="55"/>
      <c r="E42" s="55"/>
      <c r="F42" s="55"/>
      <c r="G42" s="55"/>
      <c r="H42" s="57"/>
      <c r="J42" s="103"/>
      <c r="K42" s="101"/>
      <c r="L42" s="98"/>
      <c r="M42" s="102"/>
      <c r="N42" s="101"/>
    </row>
    <row r="43" spans="1:14" ht="15.75" x14ac:dyDescent="0.25">
      <c r="A43" s="63" t="s">
        <v>71</v>
      </c>
      <c r="B43" s="54"/>
      <c r="C43" s="64" t="s">
        <v>23</v>
      </c>
      <c r="D43" s="55"/>
      <c r="E43" s="76">
        <f>+E41*E35</f>
        <v>146440</v>
      </c>
      <c r="F43" s="55"/>
      <c r="G43" s="81">
        <f>E43/E44</f>
        <v>406.77777777777777</v>
      </c>
      <c r="H43" s="57"/>
      <c r="J43" s="100">
        <v>460</v>
      </c>
      <c r="K43" s="101" t="str">
        <f>IF(G43=0,"",IF(G43&gt;=J43,"Meets or Exceeds Target","Below Target"))</f>
        <v>Below Target</v>
      </c>
      <c r="L43" s="98"/>
      <c r="M43" s="102">
        <f>IF($C$9="Western Canada",'Regional Benchmarks'!$B38,(IF($C$9="Ontario",'Regional Benchmarks'!$C38,IF($C$9="Atlantic",'Regional Benchmarks'!$D38,"NA"))))</f>
        <v>533</v>
      </c>
      <c r="N43" s="101" t="str">
        <f>IF($M43=0,"No Benchmark",IF($G43&gt;=M43,"Meets or Exceeds Target","Below Benchmark"))</f>
        <v>Below Benchmark</v>
      </c>
    </row>
    <row r="44" spans="1:14" ht="15.75" x14ac:dyDescent="0.25">
      <c r="A44" s="53"/>
      <c r="B44" s="54"/>
      <c r="C44" s="67" t="s">
        <v>1</v>
      </c>
      <c r="D44" s="55"/>
      <c r="E44" s="69">
        <f>+E13</f>
        <v>360</v>
      </c>
      <c r="F44" s="55"/>
      <c r="G44" s="82"/>
      <c r="H44" s="57"/>
      <c r="J44" s="103"/>
      <c r="K44" s="101"/>
      <c r="L44" s="98"/>
      <c r="M44" s="63"/>
      <c r="N44" s="101"/>
    </row>
    <row r="45" spans="1:14" ht="15.75" x14ac:dyDescent="0.25">
      <c r="A45" s="53"/>
      <c r="B45" s="54"/>
      <c r="C45" s="67"/>
      <c r="D45" s="55"/>
      <c r="E45" s="77"/>
      <c r="F45" s="59"/>
      <c r="G45" s="82"/>
      <c r="H45" s="57"/>
      <c r="J45" s="103"/>
      <c r="K45" s="101"/>
      <c r="L45" s="98"/>
      <c r="M45" s="102"/>
      <c r="N45" s="101"/>
    </row>
    <row r="46" spans="1:14" ht="15.75" x14ac:dyDescent="0.25">
      <c r="A46" s="63" t="s">
        <v>53</v>
      </c>
      <c r="B46" s="54"/>
      <c r="C46" s="54" t="s">
        <v>21</v>
      </c>
      <c r="D46" s="55"/>
      <c r="E46" s="60">
        <v>194</v>
      </c>
      <c r="F46" s="55"/>
      <c r="G46" s="81">
        <f>+E41/E46*205</f>
        <v>552.65463917525778</v>
      </c>
      <c r="H46" s="83"/>
      <c r="J46" s="109" t="s">
        <v>85</v>
      </c>
      <c r="K46" s="101" t="s">
        <v>60</v>
      </c>
      <c r="L46" s="98"/>
      <c r="M46" s="109" t="s">
        <v>85</v>
      </c>
      <c r="N46" s="101" t="s">
        <v>89</v>
      </c>
    </row>
    <row r="47" spans="1:14" ht="15.75" x14ac:dyDescent="0.25">
      <c r="A47" s="63"/>
      <c r="B47" s="54"/>
      <c r="C47" s="54"/>
      <c r="D47" s="55"/>
      <c r="E47" s="84"/>
      <c r="F47" s="55"/>
      <c r="G47" s="82"/>
      <c r="H47" s="83"/>
      <c r="J47" s="110"/>
      <c r="K47" s="101"/>
      <c r="L47" s="98"/>
      <c r="M47" s="111"/>
      <c r="N47" s="101"/>
    </row>
    <row r="48" spans="1:14" ht="15.75" x14ac:dyDescent="0.25">
      <c r="A48" s="63" t="s">
        <v>75</v>
      </c>
      <c r="B48" s="54"/>
      <c r="C48" s="85" t="s">
        <v>76</v>
      </c>
      <c r="D48" s="55"/>
      <c r="E48" s="86">
        <f>+E41</f>
        <v>523</v>
      </c>
      <c r="F48" s="55"/>
      <c r="G48" s="87">
        <f>+E48/E49</f>
        <v>2.695876288659794</v>
      </c>
      <c r="H48" s="83"/>
      <c r="J48" s="109" t="s">
        <v>85</v>
      </c>
      <c r="K48" s="101" t="s">
        <v>60</v>
      </c>
      <c r="L48" s="98"/>
      <c r="M48" s="109" t="s">
        <v>85</v>
      </c>
      <c r="N48" s="101" t="s">
        <v>89</v>
      </c>
    </row>
    <row r="49" spans="1:14" ht="15.75" x14ac:dyDescent="0.25">
      <c r="A49" s="53"/>
      <c r="B49" s="54"/>
      <c r="C49" s="67" t="s">
        <v>77</v>
      </c>
      <c r="D49" s="55"/>
      <c r="E49" s="67">
        <f>+E46</f>
        <v>194</v>
      </c>
      <c r="F49" s="55"/>
      <c r="G49" s="67"/>
      <c r="H49" s="57"/>
      <c r="J49" s="103"/>
      <c r="K49" s="101"/>
      <c r="L49" s="98"/>
      <c r="M49" s="102"/>
      <c r="N49" s="101"/>
    </row>
    <row r="50" spans="1:14" ht="15.75" x14ac:dyDescent="0.25">
      <c r="A50" s="53"/>
      <c r="B50" s="54"/>
      <c r="C50" s="67"/>
      <c r="D50" s="55"/>
      <c r="E50" s="55"/>
      <c r="F50" s="55"/>
      <c r="G50" s="67"/>
      <c r="H50" s="57"/>
      <c r="J50" s="103"/>
      <c r="K50" s="101"/>
      <c r="L50" s="98"/>
      <c r="M50" s="102"/>
      <c r="N50" s="101"/>
    </row>
    <row r="51" spans="1:14" ht="15.75" x14ac:dyDescent="0.25">
      <c r="A51" s="63" t="s">
        <v>73</v>
      </c>
      <c r="B51" s="54"/>
      <c r="C51" s="88" t="s">
        <v>54</v>
      </c>
      <c r="D51" s="55"/>
      <c r="E51" s="89">
        <f>+E41</f>
        <v>523</v>
      </c>
      <c r="F51" s="55"/>
      <c r="G51" s="90">
        <f>+E51/E52</f>
        <v>0.37039660056657225</v>
      </c>
      <c r="H51" s="57"/>
      <c r="I51" s="19"/>
      <c r="J51" s="105">
        <v>0.45</v>
      </c>
      <c r="K51" s="101" t="str">
        <f>IF(G51=0,"",IF(G51&gt;=J51,"Meets or Exceeds Target","Below Target"))</f>
        <v>Below Target</v>
      </c>
      <c r="L51" s="54"/>
      <c r="M51" s="105">
        <v>0.45</v>
      </c>
      <c r="N51" s="101" t="str">
        <f>IF(G51=0,"",IF(G51&gt;=M51,"Meets/Exceeds Benchmark","Below Benchmark"))</f>
        <v>Below Benchmark</v>
      </c>
    </row>
    <row r="52" spans="1:14" ht="16.5" thickBot="1" x14ac:dyDescent="0.3">
      <c r="A52" s="91" t="s">
        <v>74</v>
      </c>
      <c r="B52" s="92"/>
      <c r="C52" s="92" t="s">
        <v>72</v>
      </c>
      <c r="D52" s="93"/>
      <c r="E52" s="120">
        <v>1412</v>
      </c>
      <c r="F52" s="93"/>
      <c r="G52" s="94"/>
      <c r="H52" s="95"/>
      <c r="I52" s="19"/>
      <c r="J52" s="112"/>
      <c r="K52" s="113"/>
      <c r="L52" s="54"/>
      <c r="M52" s="114"/>
      <c r="N52" s="113"/>
    </row>
    <row r="53" spans="1:14" ht="15.75" thickBot="1" x14ac:dyDescent="0.3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8"/>
      <c r="L53" s="18"/>
      <c r="M53" s="32"/>
      <c r="N53" s="18"/>
    </row>
    <row r="54" spans="1:14" ht="21" x14ac:dyDescent="0.35">
      <c r="A54" s="41" t="s">
        <v>79</v>
      </c>
      <c r="B54" s="37"/>
      <c r="C54" s="39" t="s">
        <v>63</v>
      </c>
      <c r="D54" s="39"/>
      <c r="E54" s="39" t="s">
        <v>62</v>
      </c>
      <c r="F54" s="38"/>
      <c r="G54" s="39" t="s">
        <v>84</v>
      </c>
      <c r="H54" s="40"/>
      <c r="I54" s="19"/>
      <c r="J54" s="19"/>
      <c r="K54" s="19" t="s">
        <v>63</v>
      </c>
      <c r="L54" s="19" t="s">
        <v>62</v>
      </c>
      <c r="M54" s="19" t="s">
        <v>34</v>
      </c>
      <c r="N54" s="19"/>
    </row>
    <row r="55" spans="1:14" ht="21.75" thickBot="1" x14ac:dyDescent="0.4">
      <c r="A55" s="42"/>
      <c r="B55" s="43"/>
      <c r="C55" s="44"/>
      <c r="D55" s="44"/>
      <c r="E55" s="44"/>
      <c r="F55" s="45"/>
      <c r="G55" s="46" t="s">
        <v>83</v>
      </c>
      <c r="H55" s="47"/>
      <c r="I55" s="19"/>
      <c r="J55" s="19" t="s">
        <v>55</v>
      </c>
      <c r="K55" s="31">
        <v>1</v>
      </c>
      <c r="L55" s="31">
        <v>1</v>
      </c>
      <c r="M55" s="31">
        <v>1</v>
      </c>
      <c r="N55" s="19"/>
    </row>
    <row r="56" spans="1:14" ht="15.75" x14ac:dyDescent="0.25">
      <c r="A56" s="63" t="s">
        <v>90</v>
      </c>
      <c r="B56" s="54"/>
      <c r="C56" s="123">
        <f>+G51</f>
        <v>0.37039660056657225</v>
      </c>
      <c r="D56" s="67"/>
      <c r="E56" s="123">
        <f>+J51</f>
        <v>0.45</v>
      </c>
      <c r="F56" s="67"/>
      <c r="G56" s="123">
        <f>+M51</f>
        <v>0.45</v>
      </c>
      <c r="H56" s="20"/>
      <c r="J56" s="15" t="s">
        <v>56</v>
      </c>
      <c r="K56" s="36">
        <f>+G18</f>
        <v>0.91666666666666663</v>
      </c>
      <c r="L56" s="36">
        <f>+J18</f>
        <v>0.93</v>
      </c>
      <c r="M56" s="36">
        <f>+M18</f>
        <v>0.92</v>
      </c>
      <c r="N56" s="15"/>
    </row>
    <row r="57" spans="1:14" ht="15.75" x14ac:dyDescent="0.25">
      <c r="A57" s="63" t="s">
        <v>80</v>
      </c>
      <c r="B57" s="54"/>
      <c r="C57" s="115">
        <f>1-G18</f>
        <v>8.333333333333337E-2</v>
      </c>
      <c r="D57" s="67"/>
      <c r="E57" s="115">
        <f>1-J18</f>
        <v>6.9999999999999951E-2</v>
      </c>
      <c r="F57" s="67"/>
      <c r="G57" s="115">
        <f>1-M18</f>
        <v>7.999999999999996E-2</v>
      </c>
      <c r="H57" s="20"/>
      <c r="J57" s="15" t="s">
        <v>57</v>
      </c>
      <c r="K57" s="36">
        <f>+G29</f>
        <v>0.87575757575757573</v>
      </c>
      <c r="L57" s="36">
        <f>+J29</f>
        <v>0.92</v>
      </c>
      <c r="M57" s="36">
        <f>+M29</f>
        <v>0.87</v>
      </c>
      <c r="N57" s="15"/>
    </row>
    <row r="58" spans="1:14" ht="15.75" x14ac:dyDescent="0.25">
      <c r="A58" s="63" t="s">
        <v>81</v>
      </c>
      <c r="B58" s="54"/>
      <c r="C58" s="73">
        <f>+G16</f>
        <v>72</v>
      </c>
      <c r="D58" s="67"/>
      <c r="E58" s="73" t="str">
        <f>+J16</f>
        <v>60-80</v>
      </c>
      <c r="F58" s="67"/>
      <c r="G58" s="73">
        <f>+M16</f>
        <v>87</v>
      </c>
      <c r="H58" s="20"/>
      <c r="J58" s="15" t="s">
        <v>58</v>
      </c>
      <c r="K58" s="36">
        <f>+G38</f>
        <v>0.77777777777777779</v>
      </c>
      <c r="L58" s="36">
        <f>+J38</f>
        <v>0.85</v>
      </c>
      <c r="M58" s="36">
        <f>+M38</f>
        <v>0.85</v>
      </c>
      <c r="N58" s="15"/>
    </row>
    <row r="59" spans="1:14" ht="16.5" thickBot="1" x14ac:dyDescent="0.3">
      <c r="A59" s="116" t="s">
        <v>82</v>
      </c>
      <c r="B59" s="92"/>
      <c r="C59" s="117">
        <f>+G32</f>
        <v>3.1141868512110725E-2</v>
      </c>
      <c r="D59" s="94"/>
      <c r="E59" s="117">
        <f>+J32</f>
        <v>0.04</v>
      </c>
      <c r="F59" s="94"/>
      <c r="G59" s="117">
        <f>+M32</f>
        <v>5.3999999999999999E-2</v>
      </c>
      <c r="H59" s="21"/>
    </row>
  </sheetData>
  <sheetProtection algorithmName="SHA-512" hashValue="J6Dy98vP37vIMZilbo4bK++NH7jxx0KYj8NA69fIlD1O6oRVDZLQG3WrJVv0et0K7baePeX3fLqpeO3PdbPPvA==" saltValue="sHZe0zmAU0KQUmhJKqaW7w==" spinCount="100000" sheet="1" formatCells="0" formatColumns="0" formatRows="0"/>
  <mergeCells count="3">
    <mergeCell ref="J8:K9"/>
    <mergeCell ref="M8:N9"/>
    <mergeCell ref="A6:N6"/>
  </mergeCells>
  <conditionalFormatting sqref="K21 K37">
    <cfRule type="cellIs" dxfId="65" priority="145" operator="equal">
      <formula>"Needs Improvement"</formula>
    </cfRule>
    <cfRule type="cellIs" dxfId="64" priority="146" operator="equal">
      <formula>"Meets or Exceeds Target"</formula>
    </cfRule>
  </conditionalFormatting>
  <conditionalFormatting sqref="K16">
    <cfRule type="cellIs" dxfId="63" priority="143" operator="equal">
      <formula>"Needs Improvement"</formula>
    </cfRule>
    <cfRule type="cellIs" dxfId="62" priority="144" operator="equal">
      <formula>"Meets or Exceeds Target"</formula>
    </cfRule>
  </conditionalFormatting>
  <conditionalFormatting sqref="K32">
    <cfRule type="cellIs" dxfId="61" priority="125" operator="equal">
      <formula>"Needs Improvement"</formula>
    </cfRule>
    <cfRule type="cellIs" dxfId="60" priority="126" operator="equal">
      <formula>"Meets or Exceeds Target"</formula>
    </cfRule>
  </conditionalFormatting>
  <conditionalFormatting sqref="K35">
    <cfRule type="cellIs" dxfId="59" priority="119" operator="equal">
      <formula>"Needs Improvement"</formula>
    </cfRule>
    <cfRule type="cellIs" dxfId="58" priority="120" operator="equal">
      <formula>"Meets or Exceeds Target"</formula>
    </cfRule>
  </conditionalFormatting>
  <conditionalFormatting sqref="N29">
    <cfRule type="cellIs" dxfId="57" priority="75" operator="equal">
      <formula>"Below Benchmark"</formula>
    </cfRule>
    <cfRule type="cellIs" dxfId="56" priority="76" operator="equal">
      <formula>"Meets or Exceeds Target"</formula>
    </cfRule>
  </conditionalFormatting>
  <conditionalFormatting sqref="N18">
    <cfRule type="cellIs" dxfId="55" priority="71" operator="equal">
      <formula>"Below Benchmark"</formula>
    </cfRule>
    <cfRule type="cellIs" dxfId="54" priority="72" operator="equal">
      <formula>"Meets or Exceeds Target"</formula>
    </cfRule>
  </conditionalFormatting>
  <conditionalFormatting sqref="N11">
    <cfRule type="cellIs" dxfId="53" priority="67" operator="equal">
      <formula>"Needs Improvement"</formula>
    </cfRule>
    <cfRule type="cellIs" dxfId="52" priority="68" operator="equal">
      <formula>"Meets/Exceeds Benchmark"</formula>
    </cfRule>
  </conditionalFormatting>
  <conditionalFormatting sqref="N13">
    <cfRule type="cellIs" dxfId="51" priority="65" operator="equal">
      <formula>"Below Benchmark"</formula>
    </cfRule>
    <cfRule type="cellIs" dxfId="50" priority="66" operator="equal">
      <formula>"Meets or Exceeds Target"</formula>
    </cfRule>
  </conditionalFormatting>
  <conditionalFormatting sqref="N32">
    <cfRule type="cellIs" dxfId="49" priority="63" operator="equal">
      <formula>"Below Benchmark"</formula>
    </cfRule>
    <cfRule type="cellIs" dxfId="48" priority="64" operator="equal">
      <formula>"Meets or Exceeds Target"</formula>
    </cfRule>
  </conditionalFormatting>
  <conditionalFormatting sqref="N38">
    <cfRule type="cellIs" dxfId="47" priority="61" operator="equal">
      <formula>"Below Benchmark"</formula>
    </cfRule>
    <cfRule type="cellIs" dxfId="46" priority="62" operator="equal">
      <formula>"Meets or Exceeds Target"</formula>
    </cfRule>
  </conditionalFormatting>
  <conditionalFormatting sqref="N22">
    <cfRule type="cellIs" dxfId="45" priority="55" operator="equal">
      <formula>"Below Benchmark"</formula>
    </cfRule>
    <cfRule type="cellIs" dxfId="44" priority="56" operator="equal">
      <formula>"Meets or Exceeds Target"</formula>
    </cfRule>
  </conditionalFormatting>
  <conditionalFormatting sqref="N23">
    <cfRule type="cellIs" dxfId="43" priority="53" operator="equal">
      <formula>"Below Benchmark"</formula>
    </cfRule>
    <cfRule type="cellIs" dxfId="42" priority="54" operator="equal">
      <formula>"Meets or Exceeds Target"</formula>
    </cfRule>
  </conditionalFormatting>
  <conditionalFormatting sqref="N24">
    <cfRule type="cellIs" dxfId="41" priority="51" operator="equal">
      <formula>"Below Benchmark"</formula>
    </cfRule>
    <cfRule type="cellIs" dxfId="40" priority="52" operator="equal">
      <formula>"Meets or Exceeds Target"</formula>
    </cfRule>
  </conditionalFormatting>
  <conditionalFormatting sqref="N43">
    <cfRule type="cellIs" dxfId="39" priority="49" operator="equal">
      <formula>"Below Benchmark"</formula>
    </cfRule>
    <cfRule type="cellIs" dxfId="38" priority="50" operator="equal">
      <formula>"Meets or Exceeds Target"</formula>
    </cfRule>
  </conditionalFormatting>
  <conditionalFormatting sqref="N41">
    <cfRule type="cellIs" dxfId="37" priority="39" operator="equal">
      <formula>"Below Benchmark"</formula>
    </cfRule>
    <cfRule type="cellIs" dxfId="36" priority="40" operator="equal">
      <formula>"Meets or Exceeds Target"</formula>
    </cfRule>
  </conditionalFormatting>
  <conditionalFormatting sqref="K11">
    <cfRule type="cellIs" dxfId="35" priority="37" operator="equal">
      <formula>"Below Target"</formula>
    </cfRule>
    <cfRule type="cellIs" dxfId="34" priority="38" operator="equal">
      <formula>"Meets or Exceeds Target"</formula>
    </cfRule>
  </conditionalFormatting>
  <conditionalFormatting sqref="K13">
    <cfRule type="cellIs" dxfId="33" priority="35" operator="equal">
      <formula>"Below Target"</formula>
    </cfRule>
    <cfRule type="cellIs" dxfId="32" priority="36" operator="equal">
      <formula>"Meets or Exceeds Target"</formula>
    </cfRule>
  </conditionalFormatting>
  <conditionalFormatting sqref="K18">
    <cfRule type="cellIs" dxfId="31" priority="33" operator="equal">
      <formula>"Below Target"</formula>
    </cfRule>
    <cfRule type="cellIs" dxfId="30" priority="34" operator="equal">
      <formula>"Meets or Exceeds Target"</formula>
    </cfRule>
  </conditionalFormatting>
  <conditionalFormatting sqref="K26">
    <cfRule type="cellIs" dxfId="29" priority="31" operator="equal">
      <formula>"Below Target"</formula>
    </cfRule>
    <cfRule type="cellIs" dxfId="28" priority="32" operator="equal">
      <formula>"Meets or Exceeds Target"</formula>
    </cfRule>
  </conditionalFormatting>
  <conditionalFormatting sqref="K29">
    <cfRule type="cellIs" dxfId="27" priority="29" operator="equal">
      <formula>"Below Target"</formula>
    </cfRule>
    <cfRule type="cellIs" dxfId="26" priority="30" operator="equal">
      <formula>"Meets or Exceeds Target"</formula>
    </cfRule>
  </conditionalFormatting>
  <conditionalFormatting sqref="K38">
    <cfRule type="cellIs" dxfId="25" priority="27" operator="equal">
      <formula>"Below Target"</formula>
    </cfRule>
    <cfRule type="cellIs" dxfId="24" priority="28" operator="equal">
      <formula>"Meets or Exceeds Target"</formula>
    </cfRule>
  </conditionalFormatting>
  <conditionalFormatting sqref="K22">
    <cfRule type="cellIs" dxfId="23" priority="25" operator="equal">
      <formula>"Below Target"</formula>
    </cfRule>
    <cfRule type="cellIs" dxfId="22" priority="26" operator="equal">
      <formula>"Meets or Exceeds Target"</formula>
    </cfRule>
  </conditionalFormatting>
  <conditionalFormatting sqref="K23">
    <cfRule type="cellIs" dxfId="21" priority="23" operator="equal">
      <formula>"Below Target"</formula>
    </cfRule>
    <cfRule type="cellIs" dxfId="20" priority="24" operator="equal">
      <formula>"Meets or Exceeds Target"</formula>
    </cfRule>
  </conditionalFormatting>
  <conditionalFormatting sqref="K24">
    <cfRule type="cellIs" dxfId="19" priority="21" operator="equal">
      <formula>"Below Target"</formula>
    </cfRule>
    <cfRule type="cellIs" dxfId="18" priority="22" operator="equal">
      <formula>"Meets or Exceeds Target"</formula>
    </cfRule>
  </conditionalFormatting>
  <conditionalFormatting sqref="K41">
    <cfRule type="cellIs" dxfId="17" priority="19" operator="equal">
      <formula>"Below Target"</formula>
    </cfRule>
    <cfRule type="cellIs" dxfId="16" priority="20" operator="equal">
      <formula>"Meets or Exceeds Target"</formula>
    </cfRule>
  </conditionalFormatting>
  <conditionalFormatting sqref="K43">
    <cfRule type="cellIs" dxfId="15" priority="17" operator="equal">
      <formula>"Below Target"</formula>
    </cfRule>
    <cfRule type="cellIs" dxfId="14" priority="18" operator="equal">
      <formula>"Meets or Exceeds Target"</formula>
    </cfRule>
  </conditionalFormatting>
  <conditionalFormatting sqref="K51">
    <cfRule type="cellIs" dxfId="13" priority="15" operator="equal">
      <formula>"Below Target"</formula>
    </cfRule>
    <cfRule type="cellIs" dxfId="12" priority="16" operator="equal">
      <formula>"Meets or Exceeds Target"</formula>
    </cfRule>
  </conditionalFormatting>
  <conditionalFormatting sqref="N16">
    <cfRule type="cellIs" dxfId="11" priority="13" operator="equal">
      <formula>"Below Benchmark"</formula>
    </cfRule>
    <cfRule type="cellIs" dxfId="10" priority="14" operator="equal">
      <formula>"Meets/Exceeds Benchmark"</formula>
    </cfRule>
  </conditionalFormatting>
  <conditionalFormatting sqref="N26">
    <cfRule type="cellIs" dxfId="9" priority="11" operator="equal">
      <formula>"Below Benchmark"</formula>
    </cfRule>
    <cfRule type="cellIs" dxfId="8" priority="12" operator="equal">
      <formula>"Meets/Exceeds Benchmark"</formula>
    </cfRule>
  </conditionalFormatting>
  <conditionalFormatting sqref="N35">
    <cfRule type="cellIs" dxfId="7" priority="9" operator="equal">
      <formula>"Below Benchmark"</formula>
    </cfRule>
    <cfRule type="cellIs" dxfId="6" priority="10" operator="equal">
      <formula>"Meets/Exceeds Benchmark"</formula>
    </cfRule>
  </conditionalFormatting>
  <conditionalFormatting sqref="N21">
    <cfRule type="cellIs" dxfId="5" priority="7" operator="equal">
      <formula>"Below Benchmark"</formula>
    </cfRule>
    <cfRule type="cellIs" dxfId="4" priority="8" operator="equal">
      <formula>"Meets/Exceeds Benchmark"</formula>
    </cfRule>
  </conditionalFormatting>
  <conditionalFormatting sqref="N47">
    <cfRule type="cellIs" dxfId="3" priority="5" operator="equal">
      <formula>"Below Benchmark"</formula>
    </cfRule>
    <cfRule type="cellIs" dxfId="2" priority="6" operator="equal">
      <formula>"Meets/Exceeds Benchmark"</formula>
    </cfRule>
  </conditionalFormatting>
  <conditionalFormatting sqref="N51">
    <cfRule type="cellIs" dxfId="1" priority="1" operator="equal">
      <formula>"Below Benchmark"</formula>
    </cfRule>
    <cfRule type="cellIs" dxfId="0" priority="2" operator="equal">
      <formula>"Meets or Exceeds Target"</formula>
    </cfRule>
  </conditionalFormatting>
  <pageMargins left="0.7" right="0.7" top="0.75" bottom="0.75" header="0.3" footer="0.3"/>
  <pageSetup paperSize="9" scale="46" orientation="landscape" r:id="rId1"/>
  <rowBreaks count="1" manualBreakCount="1">
    <brk id="52" max="1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20EA13A-64A2-4C99-88A2-50CD773F6D1C}">
          <x14:formula1>
            <xm:f>'Regional Benchmarks'!$B$3:$D$3</xm:f>
          </x14:formula1>
          <xm:sqref>C9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79497-017E-4026-94B6-98068D098F1E}">
  <dimension ref="A1:F43"/>
  <sheetViews>
    <sheetView view="pageBreakPreview" zoomScale="60" zoomScaleNormal="100" workbookViewId="0">
      <selection activeCell="A15" sqref="A15"/>
    </sheetView>
  </sheetViews>
  <sheetFormatPr defaultRowHeight="15" x14ac:dyDescent="0.25"/>
  <cols>
    <col min="1" max="1" width="32.7109375" customWidth="1"/>
    <col min="2" max="2" width="9.7109375" customWidth="1"/>
  </cols>
  <sheetData>
    <row r="1" spans="1:6" ht="23.25" x14ac:dyDescent="0.35">
      <c r="A1" s="16" t="s">
        <v>46</v>
      </c>
    </row>
    <row r="2" spans="1:6" ht="23.25" x14ac:dyDescent="0.35">
      <c r="A2" s="1"/>
    </row>
    <row r="3" spans="1:6" x14ac:dyDescent="0.25">
      <c r="B3" s="2" t="s">
        <v>36</v>
      </c>
      <c r="C3" s="2" t="s">
        <v>32</v>
      </c>
      <c r="D3" s="2" t="s">
        <v>33</v>
      </c>
      <c r="F3" s="5" t="s">
        <v>41</v>
      </c>
    </row>
    <row r="4" spans="1:6" x14ac:dyDescent="0.25">
      <c r="A4" s="2" t="s">
        <v>8</v>
      </c>
      <c r="B4">
        <v>91</v>
      </c>
      <c r="C4">
        <v>118</v>
      </c>
      <c r="D4">
        <v>136</v>
      </c>
    </row>
    <row r="5" spans="1:6" x14ac:dyDescent="0.25">
      <c r="A5" s="7"/>
    </row>
    <row r="6" spans="1:6" ht="15.75" x14ac:dyDescent="0.25">
      <c r="A6" s="2" t="s">
        <v>11</v>
      </c>
      <c r="B6" s="4">
        <v>21</v>
      </c>
      <c r="C6">
        <v>24</v>
      </c>
      <c r="D6" s="28"/>
      <c r="F6" s="29" t="s">
        <v>5</v>
      </c>
    </row>
    <row r="7" spans="1:6" x14ac:dyDescent="0.25">
      <c r="A7" s="2"/>
      <c r="F7" s="3" t="s">
        <v>6</v>
      </c>
    </row>
    <row r="8" spans="1:6" x14ac:dyDescent="0.25">
      <c r="A8" s="2"/>
    </row>
    <row r="9" spans="1:6" x14ac:dyDescent="0.25">
      <c r="A9" s="2" t="s">
        <v>10</v>
      </c>
      <c r="B9">
        <v>87</v>
      </c>
      <c r="C9">
        <v>119</v>
      </c>
      <c r="D9">
        <v>121</v>
      </c>
    </row>
    <row r="11" spans="1:6" x14ac:dyDescent="0.25">
      <c r="A11" s="2" t="s">
        <v>0</v>
      </c>
      <c r="B11" s="8">
        <v>0.92</v>
      </c>
      <c r="C11" s="8">
        <v>0.89</v>
      </c>
      <c r="D11" s="28"/>
    </row>
    <row r="14" spans="1:6" x14ac:dyDescent="0.25">
      <c r="A14" s="2" t="s">
        <v>14</v>
      </c>
      <c r="B14" s="12">
        <f>3.1%+1.3%</f>
        <v>4.3999999999999997E-2</v>
      </c>
      <c r="C14" s="9"/>
      <c r="D14" s="28"/>
    </row>
    <row r="17" spans="1:4" x14ac:dyDescent="0.25">
      <c r="A17" s="2" t="s">
        <v>16</v>
      </c>
      <c r="B17" s="8">
        <v>0.87</v>
      </c>
      <c r="C17" s="9"/>
      <c r="D17" s="28"/>
    </row>
    <row r="20" spans="1:4" x14ac:dyDescent="0.25">
      <c r="A20" s="2" t="s">
        <v>17</v>
      </c>
      <c r="B20" s="10">
        <v>5.3999999999999999E-2</v>
      </c>
      <c r="C20" s="10">
        <v>8.2000000000000003E-2</v>
      </c>
      <c r="D20" s="28"/>
    </row>
    <row r="21" spans="1:4" x14ac:dyDescent="0.25">
      <c r="A21" s="2"/>
    </row>
    <row r="23" spans="1:4" x14ac:dyDescent="0.25">
      <c r="A23" s="2" t="s">
        <v>18</v>
      </c>
      <c r="B23" s="11">
        <v>0.85</v>
      </c>
      <c r="C23" s="8">
        <v>0.91</v>
      </c>
      <c r="D23" s="28"/>
    </row>
    <row r="24" spans="1:4" x14ac:dyDescent="0.25">
      <c r="A24" s="2" t="s">
        <v>29</v>
      </c>
    </row>
    <row r="26" spans="1:4" x14ac:dyDescent="0.25">
      <c r="A26" s="2" t="s">
        <v>20</v>
      </c>
      <c r="B26" s="8">
        <v>0.86</v>
      </c>
      <c r="C26" s="9"/>
      <c r="D26" s="28"/>
    </row>
    <row r="29" spans="1:4" x14ac:dyDescent="0.25">
      <c r="A29" s="2" t="s">
        <v>37</v>
      </c>
      <c r="B29" s="8">
        <v>0.55000000000000004</v>
      </c>
      <c r="C29" s="8">
        <v>0.54</v>
      </c>
      <c r="D29" s="8">
        <v>0.45</v>
      </c>
    </row>
    <row r="30" spans="1:4" x14ac:dyDescent="0.25">
      <c r="A30" s="2" t="s">
        <v>38</v>
      </c>
      <c r="B30" s="8">
        <v>0.3</v>
      </c>
      <c r="C30" s="8">
        <v>0.2</v>
      </c>
      <c r="D30" s="8">
        <v>0.4</v>
      </c>
    </row>
    <row r="31" spans="1:4" x14ac:dyDescent="0.25">
      <c r="A31" s="2" t="s">
        <v>39</v>
      </c>
      <c r="B31" s="8">
        <v>0.1</v>
      </c>
      <c r="C31" s="8">
        <v>0.13</v>
      </c>
      <c r="D31" s="8">
        <v>0.3</v>
      </c>
    </row>
    <row r="32" spans="1:4" x14ac:dyDescent="0.25">
      <c r="A32" s="2" t="s">
        <v>40</v>
      </c>
      <c r="B32" s="8">
        <v>0.05</v>
      </c>
      <c r="C32" s="8">
        <v>0.1</v>
      </c>
      <c r="D32" s="8">
        <v>0.2</v>
      </c>
    </row>
    <row r="34" spans="1:5" x14ac:dyDescent="0.25">
      <c r="A34" s="35" t="s">
        <v>26</v>
      </c>
      <c r="B34">
        <v>581.4</v>
      </c>
      <c r="C34">
        <v>685</v>
      </c>
      <c r="D34" s="25">
        <v>459</v>
      </c>
      <c r="E34" s="33" t="s">
        <v>47</v>
      </c>
    </row>
    <row r="35" spans="1:5" x14ac:dyDescent="0.25">
      <c r="A35" s="35" t="s">
        <v>27</v>
      </c>
      <c r="B35">
        <v>544.1</v>
      </c>
      <c r="C35">
        <v>636</v>
      </c>
      <c r="D35">
        <v>596</v>
      </c>
    </row>
    <row r="36" spans="1:5" x14ac:dyDescent="0.25">
      <c r="A36" s="2" t="s">
        <v>28</v>
      </c>
      <c r="B36">
        <v>570</v>
      </c>
      <c r="C36" s="9">
        <f>+AVERAGE(C34:C35)</f>
        <v>660.5</v>
      </c>
      <c r="D36" s="28">
        <f>+AVERAGE(D34:D35)</f>
        <v>527.5</v>
      </c>
    </row>
    <row r="38" spans="1:5" x14ac:dyDescent="0.25">
      <c r="A38" s="2" t="s">
        <v>22</v>
      </c>
      <c r="B38">
        <v>533</v>
      </c>
      <c r="C38" s="9"/>
      <c r="D38" s="28"/>
    </row>
    <row r="40" spans="1:5" x14ac:dyDescent="0.25">
      <c r="A40" s="2" t="s">
        <v>53</v>
      </c>
      <c r="B40" s="9"/>
      <c r="C40" s="9"/>
      <c r="D40" s="28"/>
    </row>
    <row r="42" spans="1:5" x14ac:dyDescent="0.25">
      <c r="A42" s="35" t="s">
        <v>24</v>
      </c>
      <c r="B42" s="9"/>
      <c r="C42" s="9"/>
      <c r="D42" s="28"/>
    </row>
    <row r="43" spans="1:5" x14ac:dyDescent="0.25">
      <c r="A43" s="2" t="s">
        <v>25</v>
      </c>
      <c r="B43" s="9"/>
      <c r="C43" s="9"/>
      <c r="D43" s="28"/>
    </row>
  </sheetData>
  <pageMargins left="0.7" right="0.7" top="0.75" bottom="0.75" header="0.3" footer="0.3"/>
  <pageSetup scale="57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1157D3B8F73946A976B4BF8D028BA1" ma:contentTypeVersion="10" ma:contentTypeDescription="Create a new document." ma:contentTypeScope="" ma:versionID="1af6b3430defd58a1a197d034ed1d7d6">
  <xsd:schema xmlns:xsd="http://www.w3.org/2001/XMLSchema" xmlns:xs="http://www.w3.org/2001/XMLSchema" xmlns:p="http://schemas.microsoft.com/office/2006/metadata/properties" xmlns:ns2="4de526d9-6600-41fe-ac9f-b553f9b8b298" xmlns:ns3="251cae61-8135-4a88-bc5f-8b47aaccd9f5" targetNamespace="http://schemas.microsoft.com/office/2006/metadata/properties" ma:root="true" ma:fieldsID="4ab37db6addd861da9af7216e550a36b" ns2:_="" ns3:_="">
    <xsd:import namespace="4de526d9-6600-41fe-ac9f-b553f9b8b298"/>
    <xsd:import namespace="251cae61-8135-4a88-bc5f-8b47aaccd9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e526d9-6600-41fe-ac9f-b553f9b8b2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cae61-8135-4a88-bc5f-8b47aaccd9f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197F54B-07DF-41C5-95ED-4637E1A1F8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e526d9-6600-41fe-ac9f-b553f9b8b298"/>
    <ds:schemaRef ds:uri="251cae61-8135-4a88-bc5f-8b47aaccd9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A4C8C7-B074-4A27-8EB0-6405913BB8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691DC3-B488-4B5C-B321-95F50F7D98D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Production_Indicators</vt:lpstr>
      <vt:lpstr>Regional Benchmarks</vt:lpstr>
      <vt:lpstr>Production_Indicators!Print_Area</vt:lpstr>
    </vt:vector>
  </TitlesOfParts>
  <Company>University of Saskatchewan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Larson, Kathy</dc:creator>
  <cp:lastModifiedBy>Ellen Crane</cp:lastModifiedBy>
  <cp:lastPrinted>2019-10-03T14:50:34Z</cp:lastPrinted>
  <dcterms:created xsi:type="dcterms:W3CDTF">2019-02-22T14:59:19Z</dcterms:created>
  <dcterms:modified xsi:type="dcterms:W3CDTF">2019-10-23T19:00:44Z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0x0101005A1157D3B8F73946A976B4BF8D028BA1</vt:lpwstr>
  </property>
</Properties>
</file>