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anadiancattlemens.sharepoint.com/sites/BCRC/Shared Documents/Extension &amp; Communications/Website/Decision tools/Production indicator calculator/"/>
    </mc:Choice>
  </mc:AlternateContent>
  <xr:revisionPtr revIDLastSave="0" documentId="8_{7086E250-2273-4AB3-8EF7-8502A7549514}" xr6:coauthVersionLast="47" xr6:coauthVersionMax="47" xr10:uidLastSave="{00000000-0000-0000-0000-000000000000}"/>
  <workbookProtection workbookAlgorithmName="SHA-512" workbookHashValue="h+iclSn25/bd1ckswTSTwiERT1h9S5I+Gt+hl64kerE3m213VvwMsimHNZrpXp/RuMakHkVburI3FIVR9KhCwQ==" workbookSaltValue="kWdQOl0h8ZteRDa0LGpvqw==" workbookSpinCount="100000" lockStructure="1"/>
  <bookViews>
    <workbookView xWindow="33720" yWindow="-120" windowWidth="29040" windowHeight="15720" xr2:uid="{00000000-000D-0000-FFFF-FFFF00000000}"/>
  </bookViews>
  <sheets>
    <sheet name="Production_Indicators" sheetId="1" r:id="rId1"/>
    <sheet name="Regional Benchmarks" sheetId="9" state="hidden" r:id="rId2"/>
  </sheets>
  <definedNames>
    <definedName name="_xlnm.Print_Area" localSheetId="0">Production_Indicators!$A$1:$N$66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E33" i="1"/>
  <c r="E34" i="1"/>
  <c r="G33" i="1"/>
  <c r="N33" i="1"/>
  <c r="M24" i="1"/>
  <c r="E24" i="1"/>
  <c r="E25" i="1"/>
  <c r="G24" i="1"/>
  <c r="N24" i="1"/>
  <c r="M19" i="1"/>
  <c r="G19" i="1"/>
  <c r="N19" i="1"/>
  <c r="M14" i="1"/>
  <c r="N14" i="1"/>
  <c r="E17" i="1"/>
  <c r="G16" i="1"/>
  <c r="M16" i="1"/>
  <c r="N16" i="1"/>
  <c r="E28" i="1"/>
  <c r="G27" i="1"/>
  <c r="M27" i="1"/>
  <c r="N27" i="1"/>
  <c r="E31" i="1"/>
  <c r="G30" i="1"/>
  <c r="M30" i="1"/>
  <c r="N30" i="1"/>
  <c r="E37" i="1"/>
  <c r="G36" i="1"/>
  <c r="M36" i="1"/>
  <c r="N36" i="1"/>
  <c r="G55" i="1"/>
  <c r="K30" i="1"/>
  <c r="M39" i="1"/>
  <c r="N39" i="1"/>
  <c r="M41" i="1"/>
  <c r="E41" i="1"/>
  <c r="E42" i="1"/>
  <c r="G41" i="1"/>
  <c r="E49" i="1"/>
  <c r="G49" i="1"/>
  <c r="N49" i="1"/>
  <c r="E55" i="1"/>
  <c r="K49" i="1"/>
  <c r="K33" i="1"/>
  <c r="J27" i="1"/>
  <c r="G11" i="1"/>
  <c r="M11" i="1"/>
  <c r="C57" i="1"/>
  <c r="C56" i="1"/>
  <c r="C55" i="1"/>
  <c r="C54" i="1"/>
  <c r="L55" i="1"/>
  <c r="L54" i="1"/>
  <c r="K54" i="1"/>
  <c r="K19" i="1"/>
  <c r="E54" i="1"/>
  <c r="G57" i="1"/>
  <c r="G56" i="1"/>
  <c r="G54" i="1"/>
  <c r="E57" i="1"/>
  <c r="E56" i="1"/>
  <c r="E46" i="1"/>
  <c r="E47" i="1"/>
  <c r="G46" i="1"/>
  <c r="G44" i="1"/>
  <c r="B14" i="9"/>
  <c r="M9" i="1"/>
  <c r="N9" i="1"/>
  <c r="M56" i="1"/>
  <c r="M55" i="1"/>
  <c r="M54" i="1"/>
  <c r="K56" i="1"/>
  <c r="K55" i="1"/>
  <c r="L56" i="1"/>
  <c r="K41" i="1"/>
  <c r="G22" i="1"/>
  <c r="G21" i="1"/>
  <c r="G20" i="1"/>
  <c r="K36" i="1"/>
  <c r="K27" i="1"/>
  <c r="K24" i="1"/>
  <c r="K16" i="1"/>
  <c r="K9" i="1"/>
  <c r="C36" i="9"/>
  <c r="D36" i="9"/>
  <c r="M22" i="1"/>
  <c r="M21" i="1"/>
  <c r="M20" i="1"/>
  <c r="M8" i="1"/>
  <c r="K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Larson, Kathy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Larson, Kathy:</t>
        </r>
        <r>
          <rPr>
            <sz val="9"/>
            <color indexed="81"/>
            <rFont val="Tahoma"/>
            <family val="2"/>
          </rPr>
          <t xml:space="preserve">
Note: if multiple dates, use difference between first and last date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tc={5D7ECACB-9237-491A-AB8E-94397CD58522}</author>
    <author>tc={6150ED7A-D2F9-466B-9ED5-14F91B6A7E06}</author>
    <author>tc={B134C0FA-91A1-4EC9-8E58-57A507B2B159}</author>
  </authors>
  <commentList>
    <comment ref="B4" authorId="0" shapeId="0" xr:uid="{5D7ECACB-9237-491A-AB8E-94397CD58522}">
      <text>
        <t>[Threaded comment]
Your version of Excel allows you to read this threaded comment; however, any edits to it will get removed if the file is opened in a newer version of Excel. Learn more: https://go.microsoft.com/fwlink/?linkid=870924
Comment:
    cows</t>
      </text>
    </comment>
    <comment ref="B14" authorId="1" shapeId="0" xr:uid="{6150ED7A-D2F9-466B-9ED5-14F91B6A7E06}">
      <text>
        <t>[Threaded comment]
Your version of Excel allows you to read this threaded comment; however, any edits to it will get removed if the file is opened in a newer version of Excel. Learn more: https://go.microsoft.com/fwlink/?linkid=870924
Comment:
    calves born dead +abortion rate</t>
      </text>
    </comment>
    <comment ref="B29" authorId="2" shapeId="0" xr:uid="{B134C0FA-91A1-4EC9-8E58-57A507B2B159}">
      <text>
        <t>[Threaded comment]
Your version of Excel allows you to read this threaded comment; however, any edits to it will get removed if the file is opened in a newer version of Excel. Learn more: https://go.microsoft.com/fwlink/?linkid=870924
Comment:
    WCCCS 1</t>
      </text>
    </comment>
  </commentList>
</comments>
</file>

<file path=xl/sharedStrings.xml><?xml version="1.0" encoding="utf-8"?>
<sst xmlns="http://schemas.openxmlformats.org/spreadsheetml/2006/main" count="124" uniqueCount="88">
  <si>
    <t>Pregnancy %</t>
  </si>
  <si>
    <t># Females Exposed</t>
  </si>
  <si>
    <t># Females Bred</t>
  </si>
  <si>
    <t># Live Calves Born</t>
  </si>
  <si>
    <t># Females Expected to Calve</t>
  </si>
  <si>
    <t>NDSU Chaps Benchmarks</t>
  </si>
  <si>
    <t xml:space="preserve"> https://www.ag.ndsu.edu/dickinsonrec/chaps-software-1</t>
  </si>
  <si>
    <t># Calves Weaned</t>
  </si>
  <si>
    <t>Breeding Season Length</t>
  </si>
  <si>
    <t>days</t>
  </si>
  <si>
    <t>Calving Span</t>
  </si>
  <si>
    <t>Cow:Bull Ratio</t>
  </si>
  <si>
    <t>(Last Calving Date - First Calving Date)</t>
  </si>
  <si>
    <t>(Pulled Date - In Date)</t>
  </si>
  <si>
    <t>Pregnancy Loss %</t>
  </si>
  <si>
    <t># Females Aborted/Born Dead</t>
  </si>
  <si>
    <t>Calving %</t>
  </si>
  <si>
    <t>Calf Death Loss %</t>
  </si>
  <si>
    <t>Weaning %</t>
  </si>
  <si>
    <t># Calves Died Before Wean</t>
  </si>
  <si>
    <t>Weaning Rate</t>
  </si>
  <si>
    <t>Average age at weaning, days</t>
  </si>
  <si>
    <t>Lbs weaned/cow Exposed</t>
  </si>
  <si>
    <t>Total Lbs Weaned</t>
  </si>
  <si>
    <t>Average Female Weight, lbs</t>
  </si>
  <si>
    <t>Average WW as % of Dam Weight</t>
  </si>
  <si>
    <t>Steer Weights, lbs</t>
  </si>
  <si>
    <t>Heifer Weights, lbs</t>
  </si>
  <si>
    <t>Weights (all calves), lbs</t>
  </si>
  <si>
    <t>aka  % Calf Crop</t>
  </si>
  <si>
    <t>TARGET</t>
  </si>
  <si>
    <t>60-80</t>
  </si>
  <si>
    <t>Ontario</t>
  </si>
  <si>
    <t>Atlantic</t>
  </si>
  <si>
    <t>Regional Benchmark</t>
  </si>
  <si>
    <t>Region</t>
  </si>
  <si>
    <t>Western Canada</t>
  </si>
  <si>
    <t># Calves Born Day 1-21</t>
  </si>
  <si>
    <t># Calves Born Day 22-42</t>
  </si>
  <si>
    <t># Calves Born Day 42+63</t>
  </si>
  <si>
    <t># Calves Born Day 63+</t>
  </si>
  <si>
    <t>S:\CRS\Projects\1998-2014 AB Herd Audit Survey</t>
  </si>
  <si>
    <t>Step 2: Compare to the Industry Targets</t>
  </si>
  <si>
    <t>choose from drop-down list</t>
  </si>
  <si>
    <t>Step 3: Compare to the Regional Benchmark (for cows)</t>
  </si>
  <si>
    <t>Compare your farm numbers to Industry Targets (the ideal) and Regional Benchmarks</t>
  </si>
  <si>
    <t>Regional Benchmarks</t>
  </si>
  <si>
    <t>Average weaning weight (all calves) lbs</t>
  </si>
  <si>
    <t>Calves Born 1-21 Days</t>
  </si>
  <si>
    <t>Calves Born 22-42 Days</t>
  </si>
  <si>
    <t>Calves Born 43-63 Days</t>
  </si>
  <si>
    <t>Calves Born 64+ Days</t>
  </si>
  <si>
    <t>Adjusted 205 day weaning weight</t>
  </si>
  <si>
    <t>Average Weaning Weight, lbs</t>
  </si>
  <si>
    <t>Females Exposed</t>
  </si>
  <si>
    <t>Females Pregnant</t>
  </si>
  <si>
    <t>Calves Born Alive</t>
  </si>
  <si>
    <t>Calves Weaned</t>
  </si>
  <si>
    <t>Cow-Calf Production Indicators</t>
  </si>
  <si>
    <t>INDICATOR</t>
  </si>
  <si>
    <t>Target</t>
  </si>
  <si>
    <t>Your Numbers</t>
  </si>
  <si>
    <t>Step 1: Enter information in yellow highlighted cells</t>
  </si>
  <si>
    <t>Conception Rate (% Pregnant)</t>
  </si>
  <si>
    <t>Calving Distribution</t>
  </si>
  <si>
    <t>Calving Rate (%)</t>
  </si>
  <si>
    <t>Weaning Rate (%)</t>
  </si>
  <si>
    <t>Breeding Season Length (cut, don't need 2)</t>
  </si>
  <si>
    <t>Inverse of Death Loss</t>
  </si>
  <si>
    <t>Lbs weaned/ Females Exposed</t>
  </si>
  <si>
    <t>Average Mature Cow Weight, lbs</t>
  </si>
  <si>
    <t>Average WW as % of Cow Weight</t>
  </si>
  <si>
    <t>(adjusting bred heifer weight)</t>
  </si>
  <si>
    <t>Weight per day of age (lbs)</t>
  </si>
  <si>
    <t xml:space="preserve">Average weaning weight </t>
  </si>
  <si>
    <t>Average weaning age</t>
  </si>
  <si>
    <t># Bulls used</t>
  </si>
  <si>
    <t>GOLD Indicators</t>
  </si>
  <si>
    <t>Growth (weaning weight)</t>
  </si>
  <si>
    <t>Open Cows (%)</t>
  </si>
  <si>
    <t xml:space="preserve">Length of Calving Period </t>
  </si>
  <si>
    <t>Death Loss of Calves (%)</t>
  </si>
  <si>
    <t>Benchmark</t>
  </si>
  <si>
    <t xml:space="preserve">Regional </t>
  </si>
  <si>
    <t>N/A</t>
  </si>
  <si>
    <t>Calf Survival Rate</t>
  </si>
  <si>
    <t>Enter only 15 numbers! In the Yellow shaded cells</t>
  </si>
  <si>
    <t># Calves Born Day 42-63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</si>
</sst>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2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Border="0">
      <protection locked="0"/>
    </xf>
  </cellStyleXfs>
  <cellXfs count="115">
    <xf numFmtId="0" fontId="0" fillId="0" borderId="0" xfId="0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readingOrder="1"/>
    </xf>
    <xf numFmtId="0" fontId="5" fillId="0" borderId="0" xfId="0" applyFont="1"/>
    <xf numFmtId="0" fontId="9" fillId="0" borderId="0" xfId="0" applyFont="1"/>
    <xf numFmtId="9" fontId="0" fillId="0" borderId="0" xfId="0" applyNumberFormat="1"/>
    <xf numFmtId="0" fontId="0" fillId="3" borderId="0" xfId="0" applyFill="1"/>
    <xf numFmtId="10" fontId="0" fillId="0" borderId="0" xfId="0" applyNumberFormat="1"/>
    <xf numFmtId="9" fontId="0" fillId="0" borderId="0" xfId="1" applyFont="1" applyFill="1"/>
    <xf numFmtId="0" fontId="0" fillId="0" borderId="0" xfId="0" applyAlignment="1">
      <alignment horizontal="center"/>
    </xf>
    <xf numFmtId="0" fontId="12" fillId="0" borderId="0" xfId="0" applyFont="1"/>
    <xf numFmtId="0" fontId="16" fillId="0" borderId="0" xfId="0" applyFont="1"/>
    <xf numFmtId="0" fontId="0" fillId="4" borderId="0" xfId="0" applyFill="1"/>
    <xf numFmtId="0" fontId="0" fillId="5" borderId="0" xfId="0" applyFill="1"/>
    <xf numFmtId="0" fontId="18" fillId="0" borderId="0" xfId="0" applyFont="1"/>
    <xf numFmtId="0" fontId="13" fillId="0" borderId="0" xfId="0" applyFont="1"/>
    <xf numFmtId="0" fontId="25" fillId="3" borderId="0" xfId="2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1" fontId="25" fillId="3" borderId="0" xfId="2" applyNumberFormat="1" applyFont="1" applyFill="1" applyBorder="1" applyAlignment="1" applyProtection="1">
      <alignment horizontal="center"/>
      <protection locked="0"/>
    </xf>
    <xf numFmtId="0" fontId="25" fillId="3" borderId="9" xfId="2" applyFont="1" applyFill="1" applyBorder="1" applyAlignment="1" applyProtection="1">
      <alignment horizontal="center"/>
      <protection locked="0"/>
    </xf>
    <xf numFmtId="0" fontId="18" fillId="3" borderId="4" xfId="0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19" fillId="0" borderId="0" xfId="0" applyFont="1"/>
    <xf numFmtId="0" fontId="8" fillId="0" borderId="0" xfId="0" applyFont="1"/>
    <xf numFmtId="0" fontId="22" fillId="3" borderId="0" xfId="0" applyFont="1" applyFill="1"/>
    <xf numFmtId="0" fontId="12" fillId="3" borderId="0" xfId="0" applyFont="1" applyFill="1"/>
    <xf numFmtId="0" fontId="14" fillId="0" borderId="0" xfId="0" applyFont="1"/>
    <xf numFmtId="0" fontId="17" fillId="0" borderId="0" xfId="0" applyFont="1"/>
    <xf numFmtId="0" fontId="14" fillId="4" borderId="11" xfId="0" applyFont="1" applyFill="1" applyBorder="1" applyAlignment="1">
      <alignment vertical="center"/>
    </xf>
    <xf numFmtId="0" fontId="0" fillId="4" borderId="12" xfId="0" applyFill="1" applyBorder="1"/>
    <xf numFmtId="0" fontId="12" fillId="4" borderId="12" xfId="0" applyFont="1" applyFill="1" applyBorder="1" applyAlignment="1">
      <alignment vertical="center"/>
    </xf>
    <xf numFmtId="0" fontId="12" fillId="4" borderId="12" xfId="0" applyFont="1" applyFill="1" applyBorder="1"/>
    <xf numFmtId="0" fontId="17" fillId="4" borderId="12" xfId="0" applyFont="1" applyFill="1" applyBorder="1"/>
    <xf numFmtId="0" fontId="12" fillId="4" borderId="13" xfId="0" applyFont="1" applyFill="1" applyBorder="1"/>
    <xf numFmtId="0" fontId="23" fillId="0" borderId="2" xfId="0" applyFont="1" applyBorder="1"/>
    <xf numFmtId="0" fontId="24" fillId="0" borderId="3" xfId="0" applyFont="1" applyBorder="1"/>
    <xf numFmtId="0" fontId="25" fillId="0" borderId="3" xfId="0" applyFont="1" applyBorder="1"/>
    <xf numFmtId="0" fontId="25" fillId="0" borderId="5" xfId="0" applyFont="1" applyBorder="1"/>
    <xf numFmtId="0" fontId="24" fillId="0" borderId="6" xfId="0" applyFont="1" applyBorder="1"/>
    <xf numFmtId="0" fontId="24" fillId="0" borderId="0" xfId="0" applyFont="1"/>
    <xf numFmtId="0" fontId="25" fillId="0" borderId="0" xfId="0" applyFont="1"/>
    <xf numFmtId="0" fontId="18" fillId="0" borderId="0" xfId="0" applyFont="1" applyAlignment="1">
      <alignment vertical="center"/>
    </xf>
    <xf numFmtId="0" fontId="25" fillId="0" borderId="7" xfId="0" applyFont="1" applyBorder="1"/>
    <xf numFmtId="0" fontId="18" fillId="0" borderId="2" xfId="0" applyFont="1" applyBorder="1" applyAlignment="1">
      <alignment horizontal="left" vertical="center"/>
    </xf>
    <xf numFmtId="0" fontId="24" fillId="0" borderId="5" xfId="0" applyFont="1" applyBorder="1"/>
    <xf numFmtId="0" fontId="23" fillId="0" borderId="2" xfId="0" applyFont="1" applyBorder="1" applyAlignment="1">
      <alignment horizontal="left" vertical="center"/>
    </xf>
    <xf numFmtId="0" fontId="26" fillId="0" borderId="6" xfId="0" applyFont="1" applyBorder="1"/>
    <xf numFmtId="0" fontId="25" fillId="3" borderId="0" xfId="2" applyFont="1" applyFill="1" applyBorder="1" applyAlignment="1" applyProtection="1">
      <alignment horizontal="center"/>
    </xf>
    <xf numFmtId="0" fontId="18" fillId="0" borderId="6" xfId="0" applyFont="1" applyBorder="1" applyAlignment="1">
      <alignment horizontal="center"/>
    </xf>
    <xf numFmtId="0" fontId="24" fillId="0" borderId="7" xfId="0" applyFont="1" applyBorder="1"/>
    <xf numFmtId="0" fontId="23" fillId="0" borderId="6" xfId="0" applyFont="1" applyBorder="1" applyAlignment="1">
      <alignment horizontal="center"/>
    </xf>
    <xf numFmtId="0" fontId="27" fillId="0" borderId="6" xfId="0" applyFont="1" applyBorder="1"/>
    <xf numFmtId="0" fontId="25" fillId="0" borderId="0" xfId="2" applyFont="1" applyFill="1" applyBorder="1" applyProtection="1"/>
    <xf numFmtId="0" fontId="25" fillId="0" borderId="6" xfId="0" applyFont="1" applyBorder="1"/>
    <xf numFmtId="0" fontId="23" fillId="0" borderId="6" xfId="0" applyFont="1" applyBorder="1"/>
    <xf numFmtId="1" fontId="25" fillId="6" borderId="0" xfId="2" applyNumberFormat="1" applyFont="1" applyFill="1" applyBorder="1" applyAlignment="1" applyProtection="1">
      <alignment horizontal="center" vertical="center"/>
    </xf>
    <xf numFmtId="0" fontId="23" fillId="0" borderId="0" xfId="0" applyFont="1"/>
    <xf numFmtId="9" fontId="25" fillId="6" borderId="0" xfId="2" applyNumberFormat="1" applyFont="1" applyFill="1" applyBorder="1" applyAlignment="1" applyProtection="1">
      <alignment horizontal="center" vertical="center"/>
    </xf>
    <xf numFmtId="9" fontId="18" fillId="0" borderId="6" xfId="1" applyFont="1" applyBorder="1" applyAlignment="1" applyProtection="1">
      <alignment horizontal="center"/>
    </xf>
    <xf numFmtId="9" fontId="23" fillId="0" borderId="6" xfId="1" applyFont="1" applyBorder="1" applyAlignment="1" applyProtection="1">
      <alignment horizontal="center"/>
    </xf>
    <xf numFmtId="9" fontId="25" fillId="0" borderId="0" xfId="2" applyNumberFormat="1" applyFont="1" applyFill="1" applyBorder="1" applyAlignment="1" applyProtection="1">
      <alignment horizontal="center" vertical="center"/>
    </xf>
    <xf numFmtId="9" fontId="25" fillId="0" borderId="0" xfId="0" applyNumberFormat="1" applyFont="1"/>
    <xf numFmtId="0" fontId="24" fillId="0" borderId="6" xfId="0" applyFont="1" applyBorder="1" applyAlignment="1">
      <alignment horizontal="right"/>
    </xf>
    <xf numFmtId="0" fontId="24" fillId="0" borderId="0" xfId="0" applyFont="1" applyAlignment="1">
      <alignment horizontal="center"/>
    </xf>
    <xf numFmtId="9" fontId="18" fillId="0" borderId="6" xfId="0" applyNumberFormat="1" applyFont="1" applyBorder="1" applyAlignment="1">
      <alignment horizontal="center"/>
    </xf>
    <xf numFmtId="9" fontId="25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right"/>
    </xf>
    <xf numFmtId="9" fontId="25" fillId="0" borderId="0" xfId="1" applyFont="1" applyBorder="1" applyProtection="1"/>
    <xf numFmtId="0" fontId="29" fillId="0" borderId="6" xfId="0" applyFont="1" applyBorder="1" applyAlignment="1">
      <alignment horizontal="right"/>
    </xf>
    <xf numFmtId="1" fontId="23" fillId="0" borderId="6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1" fontId="25" fillId="6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Border="1" applyAlignment="1" applyProtection="1">
      <alignment horizontal="center" vertical="center"/>
    </xf>
    <xf numFmtId="0" fontId="28" fillId="0" borderId="7" xfId="0" applyFont="1" applyBorder="1"/>
    <xf numFmtId="0" fontId="25" fillId="0" borderId="0" xfId="2" applyFont="1" applyFill="1" applyBorder="1" applyAlignment="1" applyProtection="1">
      <alignment horizontal="center"/>
    </xf>
    <xf numFmtId="0" fontId="18" fillId="0" borderId="6" xfId="0" applyFont="1" applyBorder="1"/>
    <xf numFmtId="1" fontId="25" fillId="0" borderId="1" xfId="2" applyNumberFormat="1" applyFont="1" applyFill="1" applyBorder="1" applyAlignment="1" applyProtection="1">
      <alignment horizontal="center"/>
    </xf>
    <xf numFmtId="2" fontId="25" fillId="6" borderId="0" xfId="1" applyNumberFormat="1" applyFont="1" applyFill="1" applyBorder="1" applyAlignment="1" applyProtection="1">
      <alignment horizontal="center" vertical="center"/>
    </xf>
    <xf numFmtId="0" fontId="25" fillId="0" borderId="1" xfId="0" applyFont="1" applyBorder="1"/>
    <xf numFmtId="1" fontId="25" fillId="0" borderId="1" xfId="0" applyNumberFormat="1" applyFont="1" applyBorder="1" applyAlignment="1">
      <alignment horizontal="center"/>
    </xf>
    <xf numFmtId="9" fontId="25" fillId="6" borderId="0" xfId="1" applyFont="1" applyFill="1" applyBorder="1" applyAlignment="1" applyProtection="1">
      <alignment horizontal="center"/>
    </xf>
    <xf numFmtId="0" fontId="27" fillId="0" borderId="8" xfId="0" applyFont="1" applyBorder="1" applyAlignment="1">
      <alignment horizontal="right"/>
    </xf>
    <xf numFmtId="0" fontId="24" fillId="0" borderId="9" xfId="0" applyFont="1" applyBorder="1"/>
    <xf numFmtId="0" fontId="25" fillId="0" borderId="9" xfId="0" applyFont="1" applyBorder="1"/>
    <xf numFmtId="0" fontId="25" fillId="0" borderId="9" xfId="0" applyFont="1" applyBorder="1" applyAlignment="1">
      <alignment horizontal="center"/>
    </xf>
    <xf numFmtId="0" fontId="25" fillId="0" borderId="10" xfId="0" applyFont="1" applyBorder="1"/>
    <xf numFmtId="0" fontId="25" fillId="0" borderId="8" xfId="0" applyFont="1" applyBorder="1"/>
    <xf numFmtId="0" fontId="24" fillId="0" borderId="10" xfId="0" applyFont="1" applyBorder="1"/>
    <xf numFmtId="0" fontId="2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4" borderId="2" xfId="0" applyFont="1" applyFill="1" applyBorder="1" applyAlignment="1">
      <alignment vertical="center"/>
    </xf>
    <xf numFmtId="0" fontId="20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15" fillId="4" borderId="3" xfId="0" applyFont="1" applyFill="1" applyBorder="1"/>
    <xf numFmtId="0" fontId="12" fillId="4" borderId="5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12" fillId="4" borderId="9" xfId="0" applyFont="1" applyFill="1" applyBorder="1"/>
    <xf numFmtId="0" fontId="15" fillId="4" borderId="9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12" fillId="4" borderId="10" xfId="0" applyFont="1" applyFill="1" applyBorder="1"/>
    <xf numFmtId="9" fontId="12" fillId="0" borderId="0" xfId="0" applyNumberFormat="1" applyFont="1"/>
    <xf numFmtId="1" fontId="24" fillId="0" borderId="0" xfId="0" applyNumberFormat="1" applyFont="1" applyAlignment="1">
      <alignment horizontal="center"/>
    </xf>
    <xf numFmtId="0" fontId="12" fillId="0" borderId="7" xfId="0" applyFont="1" applyBorder="1"/>
    <xf numFmtId="9" fontId="24" fillId="0" borderId="0" xfId="0" applyNumberFormat="1" applyFont="1" applyAlignment="1">
      <alignment horizontal="center"/>
    </xf>
    <xf numFmtId="0" fontId="18" fillId="0" borderId="8" xfId="0" applyFont="1" applyBorder="1"/>
    <xf numFmtId="9" fontId="25" fillId="0" borderId="9" xfId="0" applyNumberFormat="1" applyFont="1" applyBorder="1" applyAlignment="1">
      <alignment horizontal="center"/>
    </xf>
    <xf numFmtId="0" fontId="12" fillId="0" borderId="10" xfId="0" applyFont="1" applyBorder="1"/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4">
    <cellStyle name="Good" xfId="2" builtinId="26"/>
    <cellStyle name="Normal" xfId="0" builtinId="0"/>
    <cellStyle name="Normal 2" xfId="3" xr:uid="{00000000-0005-0000-0000-000003000000}"/>
    <cellStyle name="Percent" xfId="1" builtinId="5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Evaluating where improvements can be made from breeding through weaning</a:t>
            </a:r>
          </a:p>
        </c:rich>
      </c:tx>
      <c:layout>
        <c:manualLayout>
          <c:xMode val="edge"/>
          <c:yMode val="edge"/>
          <c:x val="0.14317032693199666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04713977966023E-2"/>
          <c:y val="0.29742980240677463"/>
          <c:w val="0.87234539008193368"/>
          <c:h val="0.59314440647749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Production_Indicators!$K$52</c:f>
              <c:strCache>
                <c:ptCount val="1"/>
                <c:pt idx="0">
                  <c:v>Your Numbers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Production_Indicators!$J$53:$J$56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Production_Indicators!$K$53:$K$56</c:f>
              <c:numCache>
                <c:formatCode>0%</c:formatCode>
                <c:ptCount val="4"/>
                <c:pt idx="0">
                  <c:v>1</c:v>
                </c:pt>
                <c:pt idx="1">
                  <c:v>0.92222222222222228</c:v>
                </c:pt>
                <c:pt idx="2">
                  <c:v>0.96385542168674698</c:v>
                </c:pt>
                <c:pt idx="3">
                  <c:v>0.86111111111111116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0-4619-8B4B-5F0273B85275}"/>
            </c:ext>
          </c:extLst>
        </c:ser>
        <c:ser>
          <c:idx val="1"/>
          <c:order val="1"/>
          <c:tx>
            <c:strRef>
              <c:f>Production_Indicators!$L$52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Production_Indicators!$J$53:$J$56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Production_Indicators!$L$53:$L$56</c:f>
              <c:numCache>
                <c:formatCode>0%</c:formatCode>
                <c:ptCount val="4"/>
                <c:pt idx="0">
                  <c:v>1</c:v>
                </c:pt>
                <c:pt idx="1">
                  <c:v>0.93</c:v>
                </c:pt>
                <c:pt idx="2">
                  <c:v>0.92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0-4619-8B4B-5F0273B85275}"/>
            </c:ext>
          </c:extLst>
        </c:ser>
        <c:ser>
          <c:idx val="2"/>
          <c:order val="2"/>
          <c:tx>
            <c:strRef>
              <c:f>Production_Indicators!$M$52</c:f>
              <c:strCache>
                <c:ptCount val="1"/>
                <c:pt idx="0">
                  <c:v>Regional Benchmark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Production_Indicators!$J$53:$J$56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Calves Born Alive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Production_Indicators!$M$53:$M$56</c:f>
              <c:numCache>
                <c:formatCode>0%</c:formatCode>
                <c:ptCount val="4"/>
                <c:pt idx="0">
                  <c:v>1</c:v>
                </c:pt>
                <c:pt idx="1">
                  <c:v>0.92</c:v>
                </c:pt>
                <c:pt idx="2">
                  <c:v>0.87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0-4619-8B4B-5F0273B8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555936"/>
        <c:axId val="336556264"/>
      </c:barChart>
      <c:catAx>
        <c:axId val="336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6264"/>
        <c:crosses val="autoZero"/>
        <c:auto val="1"/>
        <c:lblAlgn val="ctr"/>
        <c:lblOffset val="100"/>
        <c:noMultiLvlLbl val="0"/>
      </c:catAx>
      <c:valAx>
        <c:axId val="33655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26919589596757"/>
          <c:y val="0.20367924528301887"/>
          <c:w val="0.8644186113099499"/>
          <c:h val="7.17886877396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2835709</xdr:colOff>
      <xdr:row>4</xdr:row>
      <xdr:rowOff>16933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CB22FC5-86AD-42DC-AFF8-289EBB9E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27242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165798</xdr:colOff>
      <xdr:row>50</xdr:row>
      <xdr:rowOff>53653</xdr:rowOff>
    </xdr:from>
    <xdr:to>
      <xdr:col>13</xdr:col>
      <xdr:colOff>1680168</xdr:colOff>
      <xdr:row>65</xdr:row>
      <xdr:rowOff>11875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C2B1C6-25EE-4725-BEB9-8F6E48F37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355601</xdr:colOff>
      <xdr:row>7</xdr:row>
      <xdr:rowOff>152400</xdr:rowOff>
    </xdr:from>
    <xdr:ext cx="6312727" cy="4135120"/>
    <xdr:pic>
      <xdr:nvPicPr>
        <xdr:cNvPr id="2" name="Picture 1">
          <a:extLst>
            <a:ext uri="{FF2B5EF4-FFF2-40B4-BE49-F238E27FC236}">
              <a16:creationId xmlns:a16="http://schemas.microsoft.com/office/drawing/2014/main" id="{83B51CAD-92A9-4B81-92F1-F50ED2BDA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3101" y="1651000"/>
          <a:ext cx="6312727" cy="413512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uiting Huang" id="{ED7FCA65-2498-4E68-A76D-D9ECB040DEF5}" userId="S-1-5-21-2321899713-3597473246-1899595531-413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19-05-17T16:36:28.15" personId="{ED7FCA65-2498-4E68-A76D-D9ECB040DEF5}" id="{5D7ECACB-9237-491A-AB8E-94397CD58522}">
    <text>cows</text>
  </threadedComment>
  <threadedComment ref="B14" dT="2019-05-17T16:34:58.28" personId="{ED7FCA65-2498-4E68-A76D-D9ECB040DEF5}" id="{6150ED7A-D2F9-466B-9ED5-14F91B6A7E06}">
    <text>calves born dead +abortion rate</text>
  </threadedComment>
  <threadedComment ref="B29" dT="2019-05-17T16:35:18.32" personId="{ED7FCA65-2498-4E68-A76D-D9ECB040DEF5}" id="{B134C0FA-91A1-4EC9-8E58-57A507B2B159}">
    <text>WCCCS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7"/>
  <sheetViews>
    <sheetView tabSelected="1" view="pageBreakPreview" topLeftCell="A14" zoomScale="70" zoomScaleNormal="68" zoomScaleSheetLayoutView="70" zoomScalePageLayoutView="40" workbookViewId="0">
      <selection activeCell="P41" sqref="P41"/>
    </sheetView>
  </sheetViews>
  <sheetFormatPr defaultRowHeight="14.5" x14ac:dyDescent="0.35"/>
  <cols>
    <col min="1" max="1" width="42.54296875" customWidth="1"/>
    <col min="2" max="2" width="2.54296875" customWidth="1"/>
    <col min="3" max="3" width="33.36328125" style="11" customWidth="1"/>
    <col min="4" max="4" width="2.6328125" style="11" customWidth="1"/>
    <col min="5" max="5" width="8.90625" style="11"/>
    <col min="6" max="6" width="2.36328125" style="11" customWidth="1"/>
    <col min="7" max="8" width="8.90625" style="11"/>
    <col min="9" max="9" width="2.90625" style="11" customWidth="1"/>
    <col min="10" max="10" width="7.08984375" style="11" customWidth="1"/>
    <col min="11" max="11" width="25.36328125" customWidth="1"/>
    <col min="12" max="12" width="2.36328125" customWidth="1"/>
    <col min="13" max="13" width="15.36328125" style="10" customWidth="1"/>
    <col min="14" max="14" width="28" customWidth="1"/>
    <col min="15" max="15" width="37.90625" bestFit="1" customWidth="1"/>
    <col min="16" max="16" width="36.6328125" bestFit="1" customWidth="1"/>
  </cols>
  <sheetData>
    <row r="2" spans="1:14" ht="23.5" x14ac:dyDescent="0.55000000000000004">
      <c r="E2" s="12" t="s">
        <v>58</v>
      </c>
    </row>
    <row r="3" spans="1:14" ht="18.5" x14ac:dyDescent="0.45">
      <c r="E3" s="25" t="s">
        <v>45</v>
      </c>
    </row>
    <row r="4" spans="1:14" ht="28.5" customHeight="1" x14ac:dyDescent="0.45">
      <c r="A4" s="26"/>
      <c r="E4" s="27" t="s">
        <v>86</v>
      </c>
      <c r="F4" s="28"/>
      <c r="G4" s="28"/>
      <c r="H4" s="28"/>
      <c r="I4" s="28"/>
      <c r="J4" s="28"/>
      <c r="K4" s="7"/>
    </row>
    <row r="5" spans="1:14" ht="28.5" customHeight="1" thickBot="1" x14ac:dyDescent="0.55000000000000004">
      <c r="A5" s="29"/>
      <c r="E5" s="30"/>
    </row>
    <row r="6" spans="1:14" ht="28.5" customHeight="1" thickBot="1" x14ac:dyDescent="0.55000000000000004">
      <c r="A6" s="31" t="s">
        <v>62</v>
      </c>
      <c r="B6" s="32"/>
      <c r="C6" s="33"/>
      <c r="D6" s="34"/>
      <c r="E6" s="35"/>
      <c r="F6" s="34"/>
      <c r="G6" s="34"/>
      <c r="H6" s="36"/>
      <c r="J6" s="111" t="s">
        <v>42</v>
      </c>
      <c r="K6" s="112"/>
      <c r="M6" s="111" t="s">
        <v>44</v>
      </c>
      <c r="N6" s="112"/>
    </row>
    <row r="7" spans="1:14" ht="18.75" customHeight="1" thickBot="1" x14ac:dyDescent="0.4">
      <c r="A7" s="37" t="s">
        <v>35</v>
      </c>
      <c r="B7" s="38"/>
      <c r="C7" s="22" t="s">
        <v>36</v>
      </c>
      <c r="D7" s="39"/>
      <c r="E7" s="39" t="s">
        <v>43</v>
      </c>
      <c r="F7" s="39"/>
      <c r="G7" s="39"/>
      <c r="H7" s="40"/>
      <c r="J7" s="113"/>
      <c r="K7" s="114"/>
      <c r="M7" s="113"/>
      <c r="N7" s="114"/>
    </row>
    <row r="8" spans="1:14" ht="21.65" customHeight="1" x14ac:dyDescent="0.35">
      <c r="A8" s="41"/>
      <c r="B8" s="42"/>
      <c r="C8" s="43"/>
      <c r="D8" s="43"/>
      <c r="E8" s="43"/>
      <c r="F8" s="43"/>
      <c r="G8" s="44" t="s">
        <v>59</v>
      </c>
      <c r="H8" s="45"/>
      <c r="J8" s="46" t="s">
        <v>30</v>
      </c>
      <c r="K8" s="47"/>
      <c r="L8" s="42"/>
      <c r="M8" s="48" t="str">
        <f>IF($C$7="Western Canada","Western Canada",(IF($C$7="Ontario","Ontario",IF($C$7="Atlantic","Atlantic","NA"))))</f>
        <v>Western Canada</v>
      </c>
      <c r="N8" s="47"/>
    </row>
    <row r="9" spans="1:14" ht="15.5" hidden="1" x14ac:dyDescent="0.35">
      <c r="A9" s="49" t="s">
        <v>67</v>
      </c>
      <c r="B9" s="42"/>
      <c r="C9" s="43" t="s">
        <v>13</v>
      </c>
      <c r="D9" s="43"/>
      <c r="E9" s="43"/>
      <c r="F9" s="43"/>
      <c r="G9" s="50">
        <v>65</v>
      </c>
      <c r="H9" s="45" t="s">
        <v>9</v>
      </c>
      <c r="J9" s="51">
        <v>63</v>
      </c>
      <c r="K9" s="52" t="str">
        <f>IF($G9="","",IF($G9&lt;=J9,"Meets or Exceeds Target","Below Target"))</f>
        <v>Below Target</v>
      </c>
      <c r="L9" s="42"/>
      <c r="M9" s="53">
        <f>IF($C$7="Western Canada",'Regional Benchmarks'!$B4,(IF($C$7="Ontario",'Regional Benchmarks'!$C4,IF($C$7="Atlantic",'Regional Benchmarks'!$D4,"NA"))))</f>
        <v>91</v>
      </c>
      <c r="N9" s="52" t="str">
        <f>IF($G9="","",IF($G9&lt;=M9,"Meets/Exceeds Benchmark","Needs Improvement"))</f>
        <v>Meets/Exceeds Benchmark</v>
      </c>
    </row>
    <row r="10" spans="1:14" ht="15.5" hidden="1" x14ac:dyDescent="0.35">
      <c r="A10" s="54"/>
      <c r="B10" s="42"/>
      <c r="C10" s="43"/>
      <c r="D10" s="43"/>
      <c r="E10" s="43"/>
      <c r="F10" s="43"/>
      <c r="G10" s="55"/>
      <c r="H10" s="45"/>
      <c r="J10" s="56"/>
      <c r="K10" s="52"/>
      <c r="L10" s="42"/>
      <c r="M10" s="53"/>
      <c r="N10" s="52"/>
    </row>
    <row r="11" spans="1:14" ht="15.5" x14ac:dyDescent="0.35">
      <c r="A11" s="57" t="s">
        <v>11</v>
      </c>
      <c r="B11" s="42"/>
      <c r="C11" s="24" t="s">
        <v>1</v>
      </c>
      <c r="D11" s="43"/>
      <c r="E11" s="18">
        <v>360</v>
      </c>
      <c r="F11" s="43"/>
      <c r="G11" s="58">
        <f>ROUND(E11/E12,0)</f>
        <v>26</v>
      </c>
      <c r="H11" s="45"/>
      <c r="J11" s="51">
        <v>25</v>
      </c>
      <c r="K11" s="52"/>
      <c r="L11" s="42"/>
      <c r="M11" s="53">
        <f>IF($C$7="Western Canada",'Regional Benchmarks'!$B6,(IF($C$7="Ontario",'Regional Benchmarks'!$C6,IF($C$7="Atlantic",'Regional Benchmarks'!D6))))</f>
        <v>21</v>
      </c>
      <c r="N11" s="52"/>
    </row>
    <row r="12" spans="1:14" ht="15.5" x14ac:dyDescent="0.35">
      <c r="A12" s="57"/>
      <c r="B12" s="42"/>
      <c r="C12" s="23" t="s">
        <v>76</v>
      </c>
      <c r="D12" s="43"/>
      <c r="E12" s="19">
        <v>14</v>
      </c>
      <c r="F12" s="43"/>
      <c r="G12" s="55"/>
      <c r="H12" s="45"/>
      <c r="J12" s="56"/>
      <c r="K12" s="52"/>
      <c r="L12" s="42"/>
      <c r="M12" s="53"/>
      <c r="N12" s="52"/>
    </row>
    <row r="13" spans="1:14" ht="15.5" x14ac:dyDescent="0.35">
      <c r="A13" s="57"/>
      <c r="B13" s="42"/>
      <c r="C13" s="43"/>
      <c r="D13" s="43"/>
      <c r="E13" s="43"/>
      <c r="F13" s="43"/>
      <c r="G13" s="55"/>
      <c r="H13" s="45"/>
      <c r="J13" s="56"/>
      <c r="K13" s="52"/>
      <c r="L13" s="42"/>
      <c r="M13" s="53"/>
      <c r="N13" s="52"/>
    </row>
    <row r="14" spans="1:14" ht="15.5" x14ac:dyDescent="0.35">
      <c r="A14" s="59" t="s">
        <v>80</v>
      </c>
      <c r="B14" s="42"/>
      <c r="C14" s="43" t="s">
        <v>12</v>
      </c>
      <c r="D14" s="43"/>
      <c r="E14" s="43"/>
      <c r="F14" s="43"/>
      <c r="G14" s="17">
        <v>72</v>
      </c>
      <c r="H14" s="45" t="s">
        <v>9</v>
      </c>
      <c r="J14" s="51" t="s">
        <v>31</v>
      </c>
      <c r="K14" s="52" t="str">
        <f>IF($G14="","",IF($G14&lt;=80,"Meets or Exceeds Target","Needs Improvement"))</f>
        <v>Meets or Exceeds Target</v>
      </c>
      <c r="L14" s="42"/>
      <c r="M14" s="53">
        <f>IF($C$7="Western Canada",'Regional Benchmarks'!$B9,(IF($C$7="Ontario",'Regional Benchmarks'!$C9,IF($C$7="Atlantic",'Regional Benchmarks'!$D9,"NA"))))</f>
        <v>87</v>
      </c>
      <c r="N14" s="52" t="str">
        <f>IF($G14="","",IF($G14&lt;=M14,"Meets or Exceeds Benchmark","Needs Improvement"))</f>
        <v>Meets or Exceeds Benchmark</v>
      </c>
    </row>
    <row r="15" spans="1:14" ht="15.5" x14ac:dyDescent="0.35">
      <c r="A15" s="41"/>
      <c r="B15" s="42"/>
      <c r="C15" s="43"/>
      <c r="D15" s="43"/>
      <c r="E15" s="43"/>
      <c r="F15" s="43"/>
      <c r="G15" s="43"/>
      <c r="H15" s="45"/>
      <c r="J15" s="56"/>
      <c r="K15" s="52"/>
      <c r="L15" s="42"/>
      <c r="M15" s="53"/>
      <c r="N15" s="52"/>
    </row>
    <row r="16" spans="1:14" ht="15.5" x14ac:dyDescent="0.35">
      <c r="A16" s="57" t="s">
        <v>63</v>
      </c>
      <c r="B16" s="42"/>
      <c r="C16" s="24" t="s">
        <v>2</v>
      </c>
      <c r="D16" s="43"/>
      <c r="E16" s="18">
        <v>332</v>
      </c>
      <c r="F16" s="43"/>
      <c r="G16" s="60">
        <f>E16/E17</f>
        <v>0.92222222222222228</v>
      </c>
      <c r="H16" s="45"/>
      <c r="J16" s="61">
        <v>0.93</v>
      </c>
      <c r="K16" s="52" t="str">
        <f>IF($G16=0,"",IF($G16&gt;=J16,"Meets or Exceeds Target","Below Target"))</f>
        <v>Below Target</v>
      </c>
      <c r="L16" s="42"/>
      <c r="M16" s="62">
        <f>IF($C$7="Western Canada",'Regional Benchmarks'!$B11,(IF($C$7="Ontario",'Regional Benchmarks'!$C11,IF($C$7="Atlantic","N/A"))))</f>
        <v>0.92</v>
      </c>
      <c r="N16" s="52" t="str">
        <f>IF($G16=0,"",IF(M16="N/A","",IF($G16&gt;=M16,"Meets or Exceeds Benchmark","Needs Improvement")))</f>
        <v>Meets or Exceeds Benchmark</v>
      </c>
    </row>
    <row r="17" spans="1:15" ht="15.5" x14ac:dyDescent="0.35">
      <c r="A17" s="41"/>
      <c r="B17" s="42"/>
      <c r="C17" s="23" t="s">
        <v>1</v>
      </c>
      <c r="D17" s="43"/>
      <c r="E17" s="23">
        <f>+E11</f>
        <v>360</v>
      </c>
      <c r="F17" s="43"/>
      <c r="G17" s="63"/>
      <c r="H17" s="45"/>
      <c r="J17" s="56"/>
      <c r="K17" s="52"/>
      <c r="L17" s="42"/>
      <c r="M17" s="53"/>
      <c r="N17" s="52"/>
    </row>
    <row r="18" spans="1:15" ht="15.5" x14ac:dyDescent="0.35">
      <c r="A18" s="57" t="s">
        <v>64</v>
      </c>
      <c r="B18" s="42"/>
      <c r="C18" s="43"/>
      <c r="D18" s="43"/>
      <c r="E18" s="43"/>
      <c r="F18" s="43"/>
      <c r="G18" s="64"/>
      <c r="H18" s="45"/>
      <c r="J18" s="56"/>
      <c r="K18" s="52"/>
      <c r="L18" s="42"/>
      <c r="M18" s="53"/>
      <c r="N18" s="52"/>
    </row>
    <row r="19" spans="1:15" ht="15.5" x14ac:dyDescent="0.35">
      <c r="A19" s="65" t="s">
        <v>48</v>
      </c>
      <c r="B19" s="42"/>
      <c r="C19" s="66" t="s">
        <v>37</v>
      </c>
      <c r="D19" s="43"/>
      <c r="E19" s="19">
        <v>225</v>
      </c>
      <c r="F19" s="43"/>
      <c r="G19" s="60">
        <f>E19/SUM(E$19:E$22)</f>
        <v>0.703125</v>
      </c>
      <c r="H19" s="45"/>
      <c r="J19" s="67">
        <v>0.6</v>
      </c>
      <c r="K19" s="52" t="str">
        <f>IF(G19=0,"",IF(G19&gt;=J19,"Meets or Exceeds Target","Needs Improvement"))</f>
        <v>Meets or Exceeds Target</v>
      </c>
      <c r="L19" s="42"/>
      <c r="M19" s="62">
        <f>IF($C$7="Western Canada",'Regional Benchmarks'!$B29,(IF($C$7="Ontario",'Regional Benchmarks'!$C29,IF($C$7="Atlantic",'Regional Benchmarks'!$D29,"NA"))))</f>
        <v>0.55000000000000004</v>
      </c>
      <c r="N19" s="52" t="str">
        <f>IF($G19="","",IF($G19&gt;=M19,"Meets or Exceeds Benchmark","Needs Improvement"))</f>
        <v>Meets or Exceeds Benchmark</v>
      </c>
    </row>
    <row r="20" spans="1:15" ht="15.5" x14ac:dyDescent="0.35">
      <c r="A20" s="65" t="s">
        <v>49</v>
      </c>
      <c r="B20" s="42"/>
      <c r="C20" s="66" t="s">
        <v>38</v>
      </c>
      <c r="D20" s="43"/>
      <c r="E20" s="19">
        <v>75</v>
      </c>
      <c r="F20" s="43"/>
      <c r="G20" s="60">
        <f>E20/SUM(E$19:E$22)</f>
        <v>0.234375</v>
      </c>
      <c r="H20" s="45"/>
      <c r="J20" s="67">
        <v>0.25</v>
      </c>
      <c r="K20" s="52"/>
      <c r="L20" s="42"/>
      <c r="M20" s="62">
        <f>IF($C$7="Western Canada",'Regional Benchmarks'!$B30,(IF($C$7="Ontario",'Regional Benchmarks'!$C30,IF($C$7="Atlantic",'Regional Benchmarks'!$D30,"NA"))))</f>
        <v>0.3</v>
      </c>
      <c r="N20" s="52"/>
    </row>
    <row r="21" spans="1:15" ht="15.5" x14ac:dyDescent="0.35">
      <c r="A21" s="65" t="s">
        <v>50</v>
      </c>
      <c r="B21" s="42"/>
      <c r="C21" s="66" t="s">
        <v>87</v>
      </c>
      <c r="D21" s="43"/>
      <c r="E21" s="19">
        <v>15</v>
      </c>
      <c r="F21" s="43"/>
      <c r="G21" s="60">
        <f>E21/SUM(E$19:E$22)</f>
        <v>4.6875E-2</v>
      </c>
      <c r="H21" s="45"/>
      <c r="J21" s="67">
        <v>0.1</v>
      </c>
      <c r="K21" s="52"/>
      <c r="L21" s="42"/>
      <c r="M21" s="62">
        <f>IF($C$7="Western Canada",'Regional Benchmarks'!$B31,(IF($C$7="Ontario",'Regional Benchmarks'!$C31,IF($C$7="Atlantic",'Regional Benchmarks'!$D31,"NA"))))</f>
        <v>0.1</v>
      </c>
      <c r="N21" s="52"/>
    </row>
    <row r="22" spans="1:15" ht="15.5" x14ac:dyDescent="0.35">
      <c r="A22" s="65" t="s">
        <v>51</v>
      </c>
      <c r="B22" s="42"/>
      <c r="C22" s="66" t="s">
        <v>40</v>
      </c>
      <c r="D22" s="43"/>
      <c r="E22" s="19">
        <v>5</v>
      </c>
      <c r="F22" s="43"/>
      <c r="G22" s="60">
        <f>E22/SUM(E$19:E$22)</f>
        <v>1.5625E-2</v>
      </c>
      <c r="H22" s="45"/>
      <c r="J22" s="67">
        <v>0.05</v>
      </c>
      <c r="K22" s="52"/>
      <c r="L22" s="42"/>
      <c r="M22" s="62">
        <f>IF($C$7="Western Canada",'Regional Benchmarks'!$B32,(IF($C$7="Ontario",'Regional Benchmarks'!$C32,IF($C$7="Atlantic",'Regional Benchmarks'!$D32,"NA"))))</f>
        <v>0.05</v>
      </c>
      <c r="N22" s="52"/>
    </row>
    <row r="23" spans="1:15" ht="15.5" x14ac:dyDescent="0.35">
      <c r="A23" s="41"/>
      <c r="B23" s="42"/>
      <c r="C23" s="43"/>
      <c r="D23" s="43"/>
      <c r="E23" s="43"/>
      <c r="F23" s="43"/>
      <c r="G23" s="68"/>
      <c r="H23" s="45"/>
      <c r="J23" s="56"/>
      <c r="K23" s="52"/>
      <c r="L23" s="42"/>
      <c r="M23" s="53"/>
      <c r="N23" s="52"/>
    </row>
    <row r="24" spans="1:15" ht="15.5" x14ac:dyDescent="0.35">
      <c r="A24" s="57" t="s">
        <v>14</v>
      </c>
      <c r="B24" s="42"/>
      <c r="C24" s="24" t="s">
        <v>15</v>
      </c>
      <c r="D24" s="43"/>
      <c r="E24" s="24">
        <f>+E16-E27</f>
        <v>12</v>
      </c>
      <c r="F24" s="43"/>
      <c r="G24" s="60">
        <f>E24/E25</f>
        <v>3.614457831325301E-2</v>
      </c>
      <c r="H24" s="45"/>
      <c r="J24" s="61">
        <v>0.01</v>
      </c>
      <c r="K24" s="52" t="str">
        <f>IF($G24=0,"",IF($G24&lt;=J24,"Meets or Exceeds Target","Below Target"))</f>
        <v>Below Target</v>
      </c>
      <c r="L24" s="42"/>
      <c r="M24" s="62">
        <f>IF($C$7="Western Canada",'Regional Benchmarks'!$B14,(IF($C$7="Ontario",'Regional Benchmarks'!$C14,IF($C$7="Atlantic",'Regional Benchmarks'!D14))))</f>
        <v>4.3999999999999997E-2</v>
      </c>
      <c r="N24" s="52" t="str">
        <f>IF($G24="","",IF(M24="N/A","",IF($G24&lt;=M24,"Meets or Exceeds Benchmark","Needs Improvement")))</f>
        <v>Meets or Exceeds Benchmark</v>
      </c>
    </row>
    <row r="25" spans="1:15" ht="15.5" x14ac:dyDescent="0.35">
      <c r="A25" s="41"/>
      <c r="B25" s="42"/>
      <c r="C25" s="23" t="s">
        <v>4</v>
      </c>
      <c r="D25" s="43"/>
      <c r="E25" s="23">
        <f>+E16</f>
        <v>332</v>
      </c>
      <c r="F25" s="43"/>
      <c r="G25" s="63"/>
      <c r="H25" s="45"/>
      <c r="J25" s="56"/>
      <c r="K25" s="52"/>
      <c r="L25" s="42"/>
      <c r="M25" s="53"/>
      <c r="N25" s="52"/>
    </row>
    <row r="26" spans="1:15" ht="15.5" x14ac:dyDescent="0.35">
      <c r="A26" s="41"/>
      <c r="B26" s="42"/>
      <c r="C26" s="43"/>
      <c r="D26" s="43"/>
      <c r="E26" s="43"/>
      <c r="F26" s="43"/>
      <c r="G26" s="68"/>
      <c r="H26" s="45"/>
      <c r="J26" s="56"/>
      <c r="K26" s="52"/>
      <c r="L26" s="42"/>
      <c r="M26" s="53"/>
      <c r="N26" s="52"/>
    </row>
    <row r="27" spans="1:15" ht="15.5" x14ac:dyDescent="0.35">
      <c r="A27" s="57" t="s">
        <v>65</v>
      </c>
      <c r="B27" s="42"/>
      <c r="C27" s="24" t="s">
        <v>3</v>
      </c>
      <c r="D27" s="43"/>
      <c r="E27" s="18">
        <v>320</v>
      </c>
      <c r="F27" s="43"/>
      <c r="G27" s="60">
        <f>E27/E28</f>
        <v>0.96385542168674698</v>
      </c>
      <c r="H27" s="45"/>
      <c r="J27" s="61">
        <f>J16-J24</f>
        <v>0.92</v>
      </c>
      <c r="K27" s="52" t="str">
        <f>IF($G27=0,"",IF($G27&gt;=J27,"Meets or Exceeds Target","Below Target"))</f>
        <v>Meets or Exceeds Target</v>
      </c>
      <c r="L27" s="42"/>
      <c r="M27" s="62">
        <f>IF($C$7="Western Canada",'Regional Benchmarks'!$B17,(IF($C$7="Ontario",'Regional Benchmarks'!$C17,IF($C$7="Atlantic","N/A"))))</f>
        <v>0.87</v>
      </c>
      <c r="N27" s="52" t="str">
        <f>IF($G27=0,"",IF(M27="N/A","",IF($G27&gt;=M27,"Meets or Exceeds Benchmark","Needs Improvement")))</f>
        <v>Meets or Exceeds Benchmark</v>
      </c>
      <c r="O27" s="16"/>
    </row>
    <row r="28" spans="1:15" ht="15.5" x14ac:dyDescent="0.35">
      <c r="A28" s="41"/>
      <c r="B28" s="42"/>
      <c r="C28" s="23" t="s">
        <v>2</v>
      </c>
      <c r="D28" s="43"/>
      <c r="E28" s="23">
        <f>+E16</f>
        <v>332</v>
      </c>
      <c r="F28" s="43"/>
      <c r="G28" s="63"/>
      <c r="H28" s="45"/>
      <c r="J28" s="56"/>
      <c r="K28" s="52"/>
      <c r="L28" s="42"/>
      <c r="M28" s="53"/>
      <c r="N28" s="52"/>
    </row>
    <row r="29" spans="1:15" ht="15.5" x14ac:dyDescent="0.35">
      <c r="A29" s="41"/>
      <c r="B29" s="42"/>
      <c r="C29" s="43"/>
      <c r="D29" s="43"/>
      <c r="E29" s="43"/>
      <c r="F29" s="43"/>
      <c r="G29" s="68"/>
      <c r="H29" s="45"/>
      <c r="J29" s="56"/>
      <c r="K29" s="52"/>
      <c r="L29" s="42"/>
      <c r="M29" s="53"/>
      <c r="N29" s="52"/>
    </row>
    <row r="30" spans="1:15" ht="15.5" x14ac:dyDescent="0.35">
      <c r="A30" s="57" t="s">
        <v>17</v>
      </c>
      <c r="B30" s="42"/>
      <c r="C30" s="24" t="s">
        <v>19</v>
      </c>
      <c r="D30" s="43"/>
      <c r="E30" s="18">
        <v>10</v>
      </c>
      <c r="F30" s="43"/>
      <c r="G30" s="60">
        <f>E30/E31</f>
        <v>3.125E-2</v>
      </c>
      <c r="H30" s="45"/>
      <c r="J30" s="61">
        <v>0.04</v>
      </c>
      <c r="K30" s="52" t="str">
        <f>IF($G30=0,"",IF($G30&lt;=J30,"Meets or Exceeds Target","Needs Improvement"))</f>
        <v>Meets or Exceeds Target</v>
      </c>
      <c r="L30" s="42"/>
      <c r="M30" s="62">
        <f>IF($C$7="Western Canada",'Regional Benchmarks'!$B20,(IF($C$7="Ontario",'Regional Benchmarks'!$C20,IF($C$7="Atlantic","N/A"))))</f>
        <v>5.3999999999999999E-2</v>
      </c>
      <c r="N30" s="52" t="str">
        <f>IF($G30=0,"",IF(M30="N/A","",IF($G30&lt;=M30,"Meets or Exceeds Benchmark","Needs Improvement")))</f>
        <v>Meets or Exceeds Benchmark</v>
      </c>
    </row>
    <row r="31" spans="1:15" ht="15.5" x14ac:dyDescent="0.35">
      <c r="A31" s="57"/>
      <c r="B31" s="42"/>
      <c r="C31" s="23" t="s">
        <v>3</v>
      </c>
      <c r="D31" s="43"/>
      <c r="E31" s="23">
        <f>+E27</f>
        <v>320</v>
      </c>
      <c r="F31" s="43"/>
      <c r="G31" s="63"/>
      <c r="H31" s="45"/>
      <c r="J31" s="56"/>
      <c r="K31" s="52"/>
      <c r="L31" s="42"/>
      <c r="M31" s="53"/>
      <c r="N31" s="52"/>
    </row>
    <row r="32" spans="1:15" ht="15.5" x14ac:dyDescent="0.35">
      <c r="A32" s="41"/>
      <c r="B32" s="42"/>
      <c r="C32" s="43"/>
      <c r="D32" s="43"/>
      <c r="E32" s="43"/>
      <c r="F32" s="43"/>
      <c r="G32" s="68"/>
      <c r="H32" s="45"/>
      <c r="J32" s="56"/>
      <c r="K32" s="52"/>
      <c r="L32" s="42"/>
      <c r="M32" s="53"/>
      <c r="N32" s="52"/>
    </row>
    <row r="33" spans="1:14" ht="15.5" x14ac:dyDescent="0.35">
      <c r="A33" s="57" t="s">
        <v>85</v>
      </c>
      <c r="B33" s="42"/>
      <c r="C33" s="24" t="s">
        <v>7</v>
      </c>
      <c r="D33" s="43"/>
      <c r="E33" s="24">
        <f>+E36</f>
        <v>310</v>
      </c>
      <c r="F33" s="43"/>
      <c r="G33" s="60">
        <f>E33/E34</f>
        <v>0.96875</v>
      </c>
      <c r="H33" s="45"/>
      <c r="J33" s="61">
        <v>0.95</v>
      </c>
      <c r="K33" s="52" t="str">
        <f>IF($G33=0,"",IF($G33&gt;=J33,"Meets or Exceeds Target","Needs Improvement"))</f>
        <v>Meets or Exceeds Target</v>
      </c>
      <c r="L33" s="42"/>
      <c r="M33" s="62">
        <f>IF($C$7="Western Canada",'Regional Benchmarks'!$B26,(IF($C$7="Ontario",'Regional Benchmarks'!$C26,IF($C$7="Atlantic","N/A"))))</f>
        <v>0.86</v>
      </c>
      <c r="N33" s="52" t="str">
        <f>IF($G33="","",IF(M33="N/A","",IF($G33&gt;=M33,"Meets or Exceeds Benchmark","Needs Improvement")))</f>
        <v>Meets or Exceeds Benchmark</v>
      </c>
    </row>
    <row r="34" spans="1:14" ht="15.5" x14ac:dyDescent="0.35">
      <c r="A34" s="69" t="s">
        <v>68</v>
      </c>
      <c r="B34" s="42"/>
      <c r="C34" s="23" t="s">
        <v>3</v>
      </c>
      <c r="D34" s="43"/>
      <c r="E34" s="23">
        <f>+E27</f>
        <v>320</v>
      </c>
      <c r="F34" s="43"/>
      <c r="G34" s="63"/>
      <c r="H34" s="45"/>
      <c r="J34" s="56"/>
      <c r="K34" s="52"/>
      <c r="L34" s="42"/>
      <c r="M34" s="53"/>
      <c r="N34" s="52"/>
    </row>
    <row r="35" spans="1:14" ht="15.5" x14ac:dyDescent="0.35">
      <c r="A35" s="57"/>
      <c r="B35" s="42"/>
      <c r="C35" s="70"/>
      <c r="D35" s="43"/>
      <c r="E35" s="23"/>
      <c r="F35" s="43"/>
      <c r="G35" s="63"/>
      <c r="H35" s="45"/>
      <c r="J35" s="56"/>
      <c r="K35" s="52"/>
      <c r="L35" s="42"/>
      <c r="M35" s="62"/>
      <c r="N35" s="52"/>
    </row>
    <row r="36" spans="1:14" ht="15.5" x14ac:dyDescent="0.35">
      <c r="A36" s="57" t="s">
        <v>66</v>
      </c>
      <c r="B36" s="42"/>
      <c r="C36" s="24" t="s">
        <v>7</v>
      </c>
      <c r="D36" s="43"/>
      <c r="E36" s="18">
        <v>310</v>
      </c>
      <c r="F36" s="43"/>
      <c r="G36" s="60">
        <f>E36/E37</f>
        <v>0.86111111111111116</v>
      </c>
      <c r="H36" s="45"/>
      <c r="J36" s="61">
        <v>0.85</v>
      </c>
      <c r="K36" s="52" t="str">
        <f>IF($G36=0,"",IF($G36&gt;=J36,"Meets or Exceeds Target","Below Target"))</f>
        <v>Meets or Exceeds Target</v>
      </c>
      <c r="L36" s="42"/>
      <c r="M36" s="62">
        <f>IF($C$7="Western Canada",'Regional Benchmarks'!$B23,(IF($C$7="Ontario",'Regional Benchmarks'!$C23,IF($C$7="Atlantic","N/A"))))</f>
        <v>0.85</v>
      </c>
      <c r="N36" s="52" t="str">
        <f>IF($G36=0,"",IF(M36="N/A","",IF($G36&gt;=M36,"Meets or Exceeds Benchmark","Needs Improvement")))</f>
        <v>Meets or Exceeds Benchmark</v>
      </c>
    </row>
    <row r="37" spans="1:14" ht="15.5" x14ac:dyDescent="0.35">
      <c r="A37" s="71"/>
      <c r="B37" s="42"/>
      <c r="C37" s="23" t="s">
        <v>1</v>
      </c>
      <c r="D37" s="43"/>
      <c r="E37" s="23">
        <f>+E11</f>
        <v>360</v>
      </c>
      <c r="F37" s="43"/>
      <c r="G37" s="63"/>
      <c r="H37" s="45"/>
      <c r="J37" s="56"/>
      <c r="K37" s="52"/>
      <c r="L37" s="42"/>
      <c r="M37" s="53"/>
      <c r="N37" s="52"/>
    </row>
    <row r="38" spans="1:14" ht="15.5" x14ac:dyDescent="0.35">
      <c r="A38" s="41"/>
      <c r="B38" s="42"/>
      <c r="C38" s="43"/>
      <c r="D38" s="43"/>
      <c r="E38" s="43"/>
      <c r="F38" s="43"/>
      <c r="G38" s="68"/>
      <c r="H38" s="45"/>
      <c r="J38" s="56"/>
      <c r="K38" s="52"/>
      <c r="L38" s="42"/>
      <c r="M38" s="53"/>
      <c r="N38" s="52"/>
    </row>
    <row r="39" spans="1:14" ht="15.5" x14ac:dyDescent="0.35">
      <c r="A39" s="57" t="s">
        <v>47</v>
      </c>
      <c r="B39" s="42"/>
      <c r="C39" s="43"/>
      <c r="D39" s="43"/>
      <c r="E39" s="20">
        <v>523</v>
      </c>
      <c r="F39" s="43"/>
      <c r="G39" s="43"/>
      <c r="H39" s="45"/>
      <c r="J39" s="51" t="s">
        <v>84</v>
      </c>
      <c r="K39" s="52"/>
      <c r="L39" s="42"/>
      <c r="M39" s="72">
        <f>IF($C$7="Western Canada",'Regional Benchmarks'!$B36,(IF($C$7="Ontario",'Regional Benchmarks'!$C36,IF($C$7="Atlantic",'Regional Benchmarks'!$D36,"NA"))))</f>
        <v>570</v>
      </c>
      <c r="N39" s="52" t="str">
        <f>IF($E39=0,"",IF($E39&gt;=M39,"Meets or Exceeds Benchmark","Needs Improvement"))</f>
        <v>Needs Improvement</v>
      </c>
    </row>
    <row r="40" spans="1:14" ht="15.5" x14ac:dyDescent="0.35">
      <c r="A40" s="41"/>
      <c r="B40" s="42"/>
      <c r="C40" s="43"/>
      <c r="D40" s="43"/>
      <c r="E40" s="43"/>
      <c r="F40" s="43"/>
      <c r="G40" s="43"/>
      <c r="H40" s="45"/>
      <c r="J40" s="56"/>
      <c r="K40" s="52"/>
      <c r="L40" s="42"/>
      <c r="M40" s="53"/>
      <c r="N40" s="52"/>
    </row>
    <row r="41" spans="1:14" ht="15.5" x14ac:dyDescent="0.35">
      <c r="A41" s="57" t="s">
        <v>69</v>
      </c>
      <c r="B41" s="42"/>
      <c r="C41" s="24" t="s">
        <v>23</v>
      </c>
      <c r="D41" s="43"/>
      <c r="E41" s="73">
        <f>+E39*E33</f>
        <v>162130</v>
      </c>
      <c r="F41" s="43"/>
      <c r="G41" s="74">
        <f>E41/E42</f>
        <v>450.36111111111109</v>
      </c>
      <c r="H41" s="45"/>
      <c r="J41" s="51">
        <v>460</v>
      </c>
      <c r="K41" s="52" t="str">
        <f>IF(G41=0,"",IF(G41&gt;=J41,"Meets or Exceeds Target","Below Target"))</f>
        <v>Below Target</v>
      </c>
      <c r="L41" s="42"/>
      <c r="M41" s="51" t="str">
        <f>IF($C$7="Western Canada",'Regional Benchmarks'!$B38,(IF($C$7="Ontario",'Regional Benchmarks'!$C38,IF($C$7="Atlantic","N/A"))))</f>
        <v>N/A</v>
      </c>
      <c r="N41" s="52"/>
    </row>
    <row r="42" spans="1:14" ht="15.5" x14ac:dyDescent="0.35">
      <c r="A42" s="41"/>
      <c r="B42" s="42"/>
      <c r="C42" s="23" t="s">
        <v>1</v>
      </c>
      <c r="D42" s="43"/>
      <c r="E42" s="23">
        <f>+E11</f>
        <v>360</v>
      </c>
      <c r="F42" s="43"/>
      <c r="G42" s="75"/>
      <c r="H42" s="45"/>
      <c r="J42" s="56"/>
      <c r="K42" s="52"/>
      <c r="L42" s="42"/>
      <c r="M42" s="57"/>
      <c r="N42" s="52"/>
    </row>
    <row r="43" spans="1:14" ht="15.5" x14ac:dyDescent="0.35">
      <c r="A43" s="41"/>
      <c r="B43" s="42"/>
      <c r="C43" s="23"/>
      <c r="D43" s="43"/>
      <c r="E43" s="23"/>
      <c r="F43" s="43"/>
      <c r="G43" s="75"/>
      <c r="H43" s="45"/>
      <c r="J43" s="56"/>
      <c r="K43" s="52"/>
      <c r="L43" s="42"/>
      <c r="M43" s="53"/>
      <c r="N43" s="52"/>
    </row>
    <row r="44" spans="1:14" ht="15.5" x14ac:dyDescent="0.35">
      <c r="A44" s="57" t="s">
        <v>52</v>
      </c>
      <c r="B44" s="42"/>
      <c r="C44" s="42" t="s">
        <v>21</v>
      </c>
      <c r="D44" s="43"/>
      <c r="E44" s="17">
        <v>194</v>
      </c>
      <c r="F44" s="43"/>
      <c r="G44" s="74">
        <f>+E39/E44*205</f>
        <v>552.65463917525778</v>
      </c>
      <c r="H44" s="76"/>
      <c r="J44" s="51" t="s">
        <v>84</v>
      </c>
      <c r="K44" s="52"/>
      <c r="L44" s="42"/>
      <c r="M44" s="51" t="s">
        <v>84</v>
      </c>
      <c r="N44" s="52"/>
    </row>
    <row r="45" spans="1:14" ht="15.5" x14ac:dyDescent="0.35">
      <c r="A45" s="57"/>
      <c r="B45" s="42"/>
      <c r="C45" s="42"/>
      <c r="D45" s="43"/>
      <c r="E45" s="77"/>
      <c r="F45" s="43"/>
      <c r="G45" s="75"/>
      <c r="H45" s="76"/>
      <c r="J45" s="78"/>
      <c r="K45" s="52"/>
      <c r="L45" s="42"/>
      <c r="M45" s="53"/>
      <c r="N45" s="52"/>
    </row>
    <row r="46" spans="1:14" ht="15.5" x14ac:dyDescent="0.35">
      <c r="A46" s="57" t="s">
        <v>73</v>
      </c>
      <c r="B46" s="42"/>
      <c r="C46" s="24" t="s">
        <v>74</v>
      </c>
      <c r="D46" s="43"/>
      <c r="E46" s="79">
        <f>+E39</f>
        <v>523</v>
      </c>
      <c r="F46" s="43"/>
      <c r="G46" s="80">
        <f>+E46/E47</f>
        <v>2.695876288659794</v>
      </c>
      <c r="H46" s="76"/>
      <c r="J46" s="51" t="s">
        <v>84</v>
      </c>
      <c r="K46" s="52"/>
      <c r="L46" s="42"/>
      <c r="M46" s="51" t="s">
        <v>84</v>
      </c>
      <c r="N46" s="52"/>
    </row>
    <row r="47" spans="1:14" ht="15.5" x14ac:dyDescent="0.35">
      <c r="A47" s="41"/>
      <c r="B47" s="42"/>
      <c r="C47" s="23" t="s">
        <v>75</v>
      </c>
      <c r="D47" s="43"/>
      <c r="E47" s="23">
        <f>+E44</f>
        <v>194</v>
      </c>
      <c r="F47" s="43"/>
      <c r="G47" s="23"/>
      <c r="H47" s="45"/>
      <c r="J47" s="56"/>
      <c r="K47" s="52"/>
      <c r="L47" s="42"/>
      <c r="M47" s="53"/>
      <c r="N47" s="52"/>
    </row>
    <row r="48" spans="1:14" ht="15.5" x14ac:dyDescent="0.35">
      <c r="A48" s="41"/>
      <c r="B48" s="42"/>
      <c r="C48" s="23"/>
      <c r="D48" s="43"/>
      <c r="E48" s="43"/>
      <c r="F48" s="43"/>
      <c r="G48" s="23"/>
      <c r="H48" s="45"/>
      <c r="J48" s="56"/>
      <c r="K48" s="52"/>
      <c r="L48" s="42"/>
      <c r="M48" s="53"/>
      <c r="N48" s="52"/>
    </row>
    <row r="49" spans="1:14" ht="15.5" x14ac:dyDescent="0.35">
      <c r="A49" s="57" t="s">
        <v>71</v>
      </c>
      <c r="B49" s="42"/>
      <c r="C49" s="81" t="s">
        <v>53</v>
      </c>
      <c r="D49" s="43"/>
      <c r="E49" s="82">
        <f>+E39</f>
        <v>523</v>
      </c>
      <c r="F49" s="43"/>
      <c r="G49" s="83">
        <f>+E49/E50</f>
        <v>0.37357142857142855</v>
      </c>
      <c r="H49" s="45"/>
      <c r="J49" s="61">
        <v>0.45</v>
      </c>
      <c r="K49" s="52" t="str">
        <f>IF(G49=0,"",IF(G49&gt;=J49,"Meets or Exceeds Target","Below Target"))</f>
        <v>Below Target</v>
      </c>
      <c r="L49" s="42"/>
      <c r="M49" s="61">
        <v>0.45</v>
      </c>
      <c r="N49" s="52" t="str">
        <f>IF(G49=0,"",IF(G49&gt;=M49,"Meets or Exceeds Benchmark","Needs Improvement"))</f>
        <v>Needs Improvement</v>
      </c>
    </row>
    <row r="50" spans="1:14" ht="16" thickBot="1" x14ac:dyDescent="0.4">
      <c r="A50" s="84" t="s">
        <v>72</v>
      </c>
      <c r="B50" s="85"/>
      <c r="C50" s="85" t="s">
        <v>70</v>
      </c>
      <c r="D50" s="86"/>
      <c r="E50" s="21">
        <v>1400</v>
      </c>
      <c r="F50" s="86"/>
      <c r="G50" s="87"/>
      <c r="H50" s="88"/>
      <c r="J50" s="89"/>
      <c r="K50" s="90"/>
      <c r="L50" s="42"/>
      <c r="M50" s="91"/>
      <c r="N50" s="90"/>
    </row>
    <row r="51" spans="1:14" ht="15" thickBot="1" x14ac:dyDescent="0.4">
      <c r="A51" s="11"/>
      <c r="B51" s="11"/>
      <c r="M51" s="92"/>
    </row>
    <row r="52" spans="1:14" ht="21" x14ac:dyDescent="0.5">
      <c r="A52" s="93" t="s">
        <v>77</v>
      </c>
      <c r="B52" s="94"/>
      <c r="C52" s="95" t="s">
        <v>61</v>
      </c>
      <c r="D52" s="95"/>
      <c r="E52" s="95" t="s">
        <v>60</v>
      </c>
      <c r="F52" s="96"/>
      <c r="G52" s="95" t="s">
        <v>83</v>
      </c>
      <c r="H52" s="97"/>
      <c r="K52" s="11" t="s">
        <v>61</v>
      </c>
      <c r="L52" s="11" t="s">
        <v>60</v>
      </c>
      <c r="M52" s="11" t="s">
        <v>34</v>
      </c>
      <c r="N52" s="11"/>
    </row>
    <row r="53" spans="1:14" ht="21.5" thickBot="1" x14ac:dyDescent="0.55000000000000004">
      <c r="A53" s="98"/>
      <c r="B53" s="99"/>
      <c r="C53" s="100"/>
      <c r="D53" s="100"/>
      <c r="E53" s="100"/>
      <c r="F53" s="101"/>
      <c r="G53" s="102" t="s">
        <v>82</v>
      </c>
      <c r="H53" s="103"/>
      <c r="J53" s="11" t="s">
        <v>54</v>
      </c>
      <c r="K53" s="104">
        <v>1</v>
      </c>
      <c r="L53" s="104">
        <v>1</v>
      </c>
      <c r="M53" s="104">
        <v>1</v>
      </c>
      <c r="N53" s="11"/>
    </row>
    <row r="54" spans="1:14" ht="15.5" x14ac:dyDescent="0.35">
      <c r="A54" s="57" t="s">
        <v>78</v>
      </c>
      <c r="B54" s="42"/>
      <c r="C54" s="105">
        <f>+E39</f>
        <v>523</v>
      </c>
      <c r="D54" s="23"/>
      <c r="E54" s="105" t="str">
        <f>+J39</f>
        <v>N/A</v>
      </c>
      <c r="F54" s="23"/>
      <c r="G54" s="105">
        <f>+M39</f>
        <v>570</v>
      </c>
      <c r="H54" s="106"/>
      <c r="J54" s="11" t="s">
        <v>55</v>
      </c>
      <c r="K54" s="104">
        <f>+G16</f>
        <v>0.92222222222222228</v>
      </c>
      <c r="L54" s="104">
        <f>+J16</f>
        <v>0.93</v>
      </c>
      <c r="M54" s="104">
        <f>+M16</f>
        <v>0.92</v>
      </c>
      <c r="N54" s="11"/>
    </row>
    <row r="55" spans="1:14" ht="15.5" x14ac:dyDescent="0.35">
      <c r="A55" s="57" t="s">
        <v>79</v>
      </c>
      <c r="B55" s="42"/>
      <c r="C55" s="107">
        <f>1-G16</f>
        <v>7.7777777777777724E-2</v>
      </c>
      <c r="D55" s="23"/>
      <c r="E55" s="107">
        <f>1-J16</f>
        <v>6.9999999999999951E-2</v>
      </c>
      <c r="F55" s="23"/>
      <c r="G55" s="107">
        <f>IF(M16="N/A","N/A",1-M16)</f>
        <v>7.999999999999996E-2</v>
      </c>
      <c r="H55" s="106"/>
      <c r="J55" s="11" t="s">
        <v>56</v>
      </c>
      <c r="K55" s="104">
        <f>+G27</f>
        <v>0.96385542168674698</v>
      </c>
      <c r="L55" s="104">
        <f>+J27</f>
        <v>0.92</v>
      </c>
      <c r="M55" s="104">
        <f>+M27</f>
        <v>0.87</v>
      </c>
      <c r="N55" s="11"/>
    </row>
    <row r="56" spans="1:14" ht="15.5" x14ac:dyDescent="0.35">
      <c r="A56" s="57" t="s">
        <v>80</v>
      </c>
      <c r="B56" s="42"/>
      <c r="C56" s="66">
        <f>+G14</f>
        <v>72</v>
      </c>
      <c r="D56" s="23"/>
      <c r="E56" s="66" t="str">
        <f>+J14</f>
        <v>60-80</v>
      </c>
      <c r="F56" s="23"/>
      <c r="G56" s="66">
        <f>+M14</f>
        <v>87</v>
      </c>
      <c r="H56" s="106"/>
      <c r="J56" s="11" t="s">
        <v>57</v>
      </c>
      <c r="K56" s="104">
        <f>+G36</f>
        <v>0.86111111111111116</v>
      </c>
      <c r="L56" s="104">
        <f>+J36</f>
        <v>0.85</v>
      </c>
      <c r="M56" s="104">
        <f>+M36</f>
        <v>0.85</v>
      </c>
      <c r="N56" s="11"/>
    </row>
    <row r="57" spans="1:14" ht="16" thickBot="1" x14ac:dyDescent="0.4">
      <c r="A57" s="108" t="s">
        <v>81</v>
      </c>
      <c r="B57" s="85"/>
      <c r="C57" s="109">
        <f>+G30</f>
        <v>3.125E-2</v>
      </c>
      <c r="D57" s="87"/>
      <c r="E57" s="109">
        <f>+J30</f>
        <v>0.04</v>
      </c>
      <c r="F57" s="87"/>
      <c r="G57" s="109">
        <f>+M30</f>
        <v>5.3999999999999999E-2</v>
      </c>
      <c r="H57" s="110"/>
    </row>
  </sheetData>
  <sheetProtection algorithmName="SHA-512" hashValue="8fMoXTn7nsbnSSK6DrHJdR3V2rnJTJdjyLWkhAr+L38weFqAz8M/SxRAw3IARGZw5wbce3EekDg8A9cQGQOUWQ==" saltValue="RdP6rRJ6reG8A/uYa39AFQ==" spinCount="100000" sheet="1" formatCells="0" formatColumns="0" formatRows="0"/>
  <mergeCells count="2">
    <mergeCell ref="J6:K7"/>
    <mergeCell ref="M6:N7"/>
  </mergeCells>
  <conditionalFormatting sqref="K19 K35">
    <cfRule type="cellIs" dxfId="47" priority="149" operator="equal">
      <formula>"Needs Improvement"</formula>
    </cfRule>
    <cfRule type="cellIs" dxfId="46" priority="150" operator="equal">
      <formula>"Meets or Exceeds Target"</formula>
    </cfRule>
  </conditionalFormatting>
  <conditionalFormatting sqref="K14">
    <cfRule type="cellIs" dxfId="45" priority="147" operator="equal">
      <formula>"Needs Improvement"</formula>
    </cfRule>
    <cfRule type="cellIs" dxfId="44" priority="148" operator="equal">
      <formula>"Meets or Exceeds Target"</formula>
    </cfRule>
  </conditionalFormatting>
  <conditionalFormatting sqref="K30">
    <cfRule type="cellIs" dxfId="43" priority="129" operator="equal">
      <formula>"Needs Improvement"</formula>
    </cfRule>
    <cfRule type="cellIs" dxfId="42" priority="130" operator="equal">
      <formula>"Meets or Exceeds Target"</formula>
    </cfRule>
  </conditionalFormatting>
  <conditionalFormatting sqref="K33">
    <cfRule type="cellIs" dxfId="41" priority="123" operator="equal">
      <formula>"Needs Improvement"</formula>
    </cfRule>
    <cfRule type="cellIs" dxfId="40" priority="124" operator="equal">
      <formula>"Meets or Exceeds Target"</formula>
    </cfRule>
  </conditionalFormatting>
  <conditionalFormatting sqref="N27">
    <cfRule type="cellIs" dxfId="39" priority="79" operator="equal">
      <formula>"Needs Improvement"</formula>
    </cfRule>
    <cfRule type="cellIs" dxfId="38" priority="80" operator="equal">
      <formula>"Meets or Exceeds Benchmark"</formula>
    </cfRule>
  </conditionalFormatting>
  <conditionalFormatting sqref="N16">
    <cfRule type="cellIs" dxfId="37" priority="75" operator="equal">
      <formula>"Needs Improvement"</formula>
    </cfRule>
    <cfRule type="cellIs" dxfId="36" priority="76" operator="equal">
      <formula>"Meets or Exceeds Benchmark"</formula>
    </cfRule>
  </conditionalFormatting>
  <conditionalFormatting sqref="N9">
    <cfRule type="cellIs" dxfId="35" priority="71" operator="equal">
      <formula>"Needs Improvement"</formula>
    </cfRule>
    <cfRule type="cellIs" dxfId="34" priority="72" operator="equal">
      <formula>"Meets/Exceeds Benchmark"</formula>
    </cfRule>
  </conditionalFormatting>
  <conditionalFormatting sqref="N30">
    <cfRule type="cellIs" dxfId="33" priority="67" operator="equal">
      <formula>"Needs Improvement"</formula>
    </cfRule>
    <cfRule type="cellIs" dxfId="32" priority="68" operator="equal">
      <formula>"Meets or Exceeds Benchmark"</formula>
    </cfRule>
  </conditionalFormatting>
  <conditionalFormatting sqref="N36">
    <cfRule type="cellIs" dxfId="31" priority="65" operator="equal">
      <formula>"Needs Improvement"</formula>
    </cfRule>
    <cfRule type="cellIs" dxfId="30" priority="66" operator="equal">
      <formula>"Meets or Exceeds Benchmark"</formula>
    </cfRule>
  </conditionalFormatting>
  <conditionalFormatting sqref="N39">
    <cfRule type="cellIs" dxfId="29" priority="43" operator="equal">
      <formula>"Needs Improvement"</formula>
    </cfRule>
    <cfRule type="cellIs" dxfId="28" priority="44" operator="equal">
      <formula>"Meets or Exceeds Benchmark"</formula>
    </cfRule>
  </conditionalFormatting>
  <conditionalFormatting sqref="K9">
    <cfRule type="cellIs" dxfId="27" priority="41" operator="equal">
      <formula>"Below Target"</formula>
    </cfRule>
    <cfRule type="cellIs" dxfId="26" priority="42" operator="equal">
      <formula>"Meets or Exceeds Target"</formula>
    </cfRule>
  </conditionalFormatting>
  <conditionalFormatting sqref="K16">
    <cfRule type="cellIs" dxfId="25" priority="37" operator="equal">
      <formula>"Below Target"</formula>
    </cfRule>
    <cfRule type="cellIs" dxfId="24" priority="38" operator="equal">
      <formula>"Meets or Exceeds Target"</formula>
    </cfRule>
  </conditionalFormatting>
  <conditionalFormatting sqref="K24">
    <cfRule type="cellIs" dxfId="23" priority="35" operator="equal">
      <formula>"Below Target"</formula>
    </cfRule>
    <cfRule type="cellIs" dxfId="22" priority="36" operator="equal">
      <formula>"Meets or Exceeds Target"</formula>
    </cfRule>
  </conditionalFormatting>
  <conditionalFormatting sqref="K27">
    <cfRule type="cellIs" dxfId="21" priority="33" operator="equal">
      <formula>"Below Target"</formula>
    </cfRule>
    <cfRule type="cellIs" dxfId="20" priority="34" operator="equal">
      <formula>"Meets or Exceeds Target"</formula>
    </cfRule>
  </conditionalFormatting>
  <conditionalFormatting sqref="K36">
    <cfRule type="cellIs" dxfId="19" priority="31" operator="equal">
      <formula>"Below Target"</formula>
    </cfRule>
    <cfRule type="cellIs" dxfId="18" priority="32" operator="equal">
      <formula>"Meets or Exceeds Target"</formula>
    </cfRule>
  </conditionalFormatting>
  <conditionalFormatting sqref="K39">
    <cfRule type="cellIs" dxfId="17" priority="23" operator="equal">
      <formula>"Below Target"</formula>
    </cfRule>
    <cfRule type="cellIs" dxfId="16" priority="24" operator="equal">
      <formula>"Meets or Exceeds Target"</formula>
    </cfRule>
  </conditionalFormatting>
  <conditionalFormatting sqref="K41">
    <cfRule type="cellIs" dxfId="15" priority="21" operator="equal">
      <formula>"Below Target"</formula>
    </cfRule>
    <cfRule type="cellIs" dxfId="14" priority="22" operator="equal">
      <formula>"Meets or Exceeds Target"</formula>
    </cfRule>
  </conditionalFormatting>
  <conditionalFormatting sqref="K49">
    <cfRule type="cellIs" dxfId="13" priority="19" operator="equal">
      <formula>"Below Target"</formula>
    </cfRule>
    <cfRule type="cellIs" dxfId="12" priority="20" operator="equal">
      <formula>"Meets or Exceeds Target"</formula>
    </cfRule>
  </conditionalFormatting>
  <conditionalFormatting sqref="N14">
    <cfRule type="cellIs" dxfId="11" priority="17" operator="equal">
      <formula>"Needs Improvement"</formula>
    </cfRule>
    <cfRule type="cellIs" dxfId="10" priority="18" operator="equal">
      <formula>"Meets or Exceeds Benchmark"</formula>
    </cfRule>
  </conditionalFormatting>
  <conditionalFormatting sqref="N24">
    <cfRule type="cellIs" dxfId="9" priority="15" operator="equal">
      <formula>"Needs Improvement"</formula>
    </cfRule>
    <cfRule type="cellIs" dxfId="8" priority="16" operator="equal">
      <formula>"Meets or Exceeds Benchmark"</formula>
    </cfRule>
  </conditionalFormatting>
  <conditionalFormatting sqref="N33">
    <cfRule type="cellIs" dxfId="7" priority="13" operator="equal">
      <formula>"Needs Improvement"</formula>
    </cfRule>
    <cfRule type="cellIs" dxfId="6" priority="14" operator="equal">
      <formula>"Meets or Exceeds Benchmark"</formula>
    </cfRule>
  </conditionalFormatting>
  <conditionalFormatting sqref="N19">
    <cfRule type="cellIs" dxfId="5" priority="11" operator="equal">
      <formula>"Needs Improvement"</formula>
    </cfRule>
    <cfRule type="cellIs" dxfId="4" priority="12" operator="equal">
      <formula>"Meets or Exceeds Benchmark"</formula>
    </cfRule>
  </conditionalFormatting>
  <conditionalFormatting sqref="N45">
    <cfRule type="cellIs" dxfId="3" priority="9" operator="equal">
      <formula>"Needs Improvement"</formula>
    </cfRule>
    <cfRule type="cellIs" dxfId="2" priority="10" operator="equal">
      <formula>"Meets/Exceeds Benchmark"</formula>
    </cfRule>
  </conditionalFormatting>
  <conditionalFormatting sqref="N49">
    <cfRule type="cellIs" dxfId="1" priority="5" operator="equal">
      <formula>"Needs Improvement"</formula>
    </cfRule>
    <cfRule type="cellIs" dxfId="0" priority="6" operator="equal">
      <formula>"Meets or Exceeds Benchmark"</formula>
    </cfRule>
  </conditionalFormatting>
  <pageMargins left="0.7" right="0.7" top="0.75" bottom="0.75" header="0.3" footer="0.3"/>
  <pageSetup scale="4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20EA13A-64A2-4C99-88A2-50CD773F6D1C}">
          <x14:formula1>
            <xm:f>'Regional Benchmarks'!$B$3:$D$3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9497-017E-4026-94B6-98068D098F1E}">
  <dimension ref="A1:F43"/>
  <sheetViews>
    <sheetView view="pageBreakPreview" zoomScale="60" zoomScaleNormal="100" workbookViewId="0">
      <selection activeCell="B39" sqref="B39"/>
    </sheetView>
  </sheetViews>
  <sheetFormatPr defaultRowHeight="14.5" x14ac:dyDescent="0.35"/>
  <cols>
    <col min="1" max="1" width="32.6328125" customWidth="1"/>
    <col min="2" max="2" width="9.6328125" customWidth="1"/>
  </cols>
  <sheetData>
    <row r="1" spans="1:6" ht="23.5" x14ac:dyDescent="0.55000000000000004">
      <c r="A1" s="12" t="s">
        <v>46</v>
      </c>
    </row>
    <row r="2" spans="1:6" ht="23.5" x14ac:dyDescent="0.55000000000000004">
      <c r="A2" s="1"/>
    </row>
    <row r="3" spans="1:6" x14ac:dyDescent="0.35">
      <c r="B3" s="2" t="s">
        <v>36</v>
      </c>
      <c r="C3" s="2" t="s">
        <v>32</v>
      </c>
      <c r="D3" s="2" t="s">
        <v>33</v>
      </c>
      <c r="F3" s="4" t="s">
        <v>41</v>
      </c>
    </row>
    <row r="4" spans="1:6" x14ac:dyDescent="0.35">
      <c r="A4" s="2" t="s">
        <v>8</v>
      </c>
      <c r="B4">
        <v>91</v>
      </c>
      <c r="C4">
        <v>118</v>
      </c>
      <c r="D4">
        <v>136</v>
      </c>
    </row>
    <row r="5" spans="1:6" x14ac:dyDescent="0.35">
      <c r="A5" s="5"/>
    </row>
    <row r="6" spans="1:6" ht="15.5" x14ac:dyDescent="0.35">
      <c r="A6" s="2" t="s">
        <v>11</v>
      </c>
      <c r="B6">
        <v>21</v>
      </c>
      <c r="C6">
        <v>24</v>
      </c>
      <c r="D6" s="14" t="s">
        <v>84</v>
      </c>
      <c r="F6" s="15" t="s">
        <v>5</v>
      </c>
    </row>
    <row r="7" spans="1:6" x14ac:dyDescent="0.35">
      <c r="A7" s="2"/>
      <c r="F7" s="3" t="s">
        <v>6</v>
      </c>
    </row>
    <row r="8" spans="1:6" x14ac:dyDescent="0.35">
      <c r="A8" s="2"/>
    </row>
    <row r="9" spans="1:6" x14ac:dyDescent="0.35">
      <c r="A9" s="2" t="s">
        <v>10</v>
      </c>
      <c r="B9">
        <v>87</v>
      </c>
      <c r="C9">
        <v>119</v>
      </c>
      <c r="D9">
        <v>121</v>
      </c>
    </row>
    <row r="11" spans="1:6" x14ac:dyDescent="0.35">
      <c r="A11" s="2" t="s">
        <v>0</v>
      </c>
      <c r="B11" s="6">
        <v>0.92</v>
      </c>
      <c r="C11" s="6">
        <v>0.89</v>
      </c>
      <c r="D11" s="14" t="s">
        <v>84</v>
      </c>
    </row>
    <row r="14" spans="1:6" x14ac:dyDescent="0.35">
      <c r="A14" s="2" t="s">
        <v>14</v>
      </c>
      <c r="B14" s="9">
        <f>3.1%+1.3%</f>
        <v>4.3999999999999997E-2</v>
      </c>
      <c r="C14" s="7" t="s">
        <v>84</v>
      </c>
      <c r="D14" s="14" t="s">
        <v>84</v>
      </c>
    </row>
    <row r="17" spans="1:4" x14ac:dyDescent="0.35">
      <c r="A17" s="2" t="s">
        <v>16</v>
      </c>
      <c r="B17" s="6">
        <v>0.87</v>
      </c>
      <c r="C17" s="7" t="s">
        <v>84</v>
      </c>
      <c r="D17" s="14" t="s">
        <v>84</v>
      </c>
    </row>
    <row r="20" spans="1:4" x14ac:dyDescent="0.35">
      <c r="A20" s="2" t="s">
        <v>17</v>
      </c>
      <c r="B20" s="8">
        <v>5.3999999999999999E-2</v>
      </c>
      <c r="C20" s="8">
        <v>8.2000000000000003E-2</v>
      </c>
      <c r="D20" s="14" t="s">
        <v>84</v>
      </c>
    </row>
    <row r="21" spans="1:4" x14ac:dyDescent="0.35">
      <c r="A21" s="2"/>
    </row>
    <row r="23" spans="1:4" x14ac:dyDescent="0.35">
      <c r="A23" s="2" t="s">
        <v>18</v>
      </c>
      <c r="B23" s="6">
        <v>0.85</v>
      </c>
      <c r="C23" s="6">
        <v>0.91</v>
      </c>
      <c r="D23" s="14" t="s">
        <v>84</v>
      </c>
    </row>
    <row r="24" spans="1:4" x14ac:dyDescent="0.35">
      <c r="A24" s="2" t="s">
        <v>29</v>
      </c>
    </row>
    <row r="26" spans="1:4" x14ac:dyDescent="0.35">
      <c r="A26" s="2" t="s">
        <v>20</v>
      </c>
      <c r="B26" s="6">
        <v>0.86</v>
      </c>
      <c r="C26" s="7" t="s">
        <v>84</v>
      </c>
      <c r="D26" s="14" t="s">
        <v>84</v>
      </c>
    </row>
    <row r="29" spans="1:4" x14ac:dyDescent="0.35">
      <c r="A29" s="2" t="s">
        <v>37</v>
      </c>
      <c r="B29" s="6">
        <v>0.55000000000000004</v>
      </c>
      <c r="C29" s="6">
        <v>0.54</v>
      </c>
      <c r="D29" s="6">
        <v>0.45</v>
      </c>
    </row>
    <row r="30" spans="1:4" x14ac:dyDescent="0.35">
      <c r="A30" s="2" t="s">
        <v>38</v>
      </c>
      <c r="B30" s="6">
        <v>0.3</v>
      </c>
      <c r="C30" s="6">
        <v>0.2</v>
      </c>
      <c r="D30" s="6">
        <v>0.4</v>
      </c>
    </row>
    <row r="31" spans="1:4" x14ac:dyDescent="0.35">
      <c r="A31" s="2" t="s">
        <v>39</v>
      </c>
      <c r="B31" s="6">
        <v>0.1</v>
      </c>
      <c r="C31" s="6">
        <v>0.13</v>
      </c>
      <c r="D31" s="6">
        <v>0.3</v>
      </c>
    </row>
    <row r="32" spans="1:4" x14ac:dyDescent="0.35">
      <c r="A32" s="2" t="s">
        <v>40</v>
      </c>
      <c r="B32" s="6">
        <v>0.05</v>
      </c>
      <c r="C32" s="6">
        <v>0.1</v>
      </c>
      <c r="D32" s="6">
        <v>0.2</v>
      </c>
    </row>
    <row r="34" spans="1:5" x14ac:dyDescent="0.35">
      <c r="A34" t="s">
        <v>26</v>
      </c>
      <c r="B34">
        <v>581.4</v>
      </c>
      <c r="C34">
        <v>685</v>
      </c>
      <c r="D34" s="13">
        <v>659</v>
      </c>
      <c r="E34" s="16"/>
    </row>
    <row r="35" spans="1:5" x14ac:dyDescent="0.35">
      <c r="A35" t="s">
        <v>27</v>
      </c>
      <c r="B35">
        <v>544.1</v>
      </c>
      <c r="C35">
        <v>636</v>
      </c>
      <c r="D35">
        <v>596</v>
      </c>
    </row>
    <row r="36" spans="1:5" x14ac:dyDescent="0.35">
      <c r="A36" s="2" t="s">
        <v>28</v>
      </c>
      <c r="B36">
        <v>570</v>
      </c>
      <c r="C36" s="7">
        <f>+AVERAGE(C34:C35)</f>
        <v>660.5</v>
      </c>
      <c r="D36" s="14">
        <f>+AVERAGE(D34:D35)</f>
        <v>627.5</v>
      </c>
    </row>
    <row r="38" spans="1:5" x14ac:dyDescent="0.35">
      <c r="A38" s="2" t="s">
        <v>22</v>
      </c>
      <c r="B38" t="s">
        <v>84</v>
      </c>
      <c r="C38" s="7" t="s">
        <v>84</v>
      </c>
      <c r="D38" s="14" t="s">
        <v>84</v>
      </c>
    </row>
    <row r="40" spans="1:5" x14ac:dyDescent="0.35">
      <c r="A40" s="2" t="s">
        <v>52</v>
      </c>
      <c r="B40" s="7"/>
      <c r="C40" s="7"/>
      <c r="D40" s="14"/>
    </row>
    <row r="42" spans="1:5" x14ac:dyDescent="0.35">
      <c r="A42" t="s">
        <v>24</v>
      </c>
      <c r="B42" s="7"/>
      <c r="C42" s="7"/>
      <c r="D42" s="14"/>
    </row>
    <row r="43" spans="1:5" x14ac:dyDescent="0.35">
      <c r="A43" s="2" t="s">
        <v>25</v>
      </c>
      <c r="B43" s="7"/>
      <c r="C43" s="7"/>
      <c r="D43" s="14"/>
    </row>
  </sheetData>
  <pageMargins left="0.7" right="0.7" top="0.75" bottom="0.75" header="0.3" footer="0.3"/>
  <pageSetup scale="5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Production_Indicators</vt:lpstr>
      <vt:lpstr>Regional Benchmarks</vt:lpstr>
      <vt:lpstr>Production_Indicators!Print_Area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Kathy</dc:creator>
  <cp:lastModifiedBy>Ellen Crane</cp:lastModifiedBy>
  <cp:lastPrinted>2019-08-30T15:57:41Z</cp:lastPrinted>
  <dcterms:created xsi:type="dcterms:W3CDTF">2019-02-22T14:59:19Z</dcterms:created>
  <dcterms:modified xsi:type="dcterms:W3CDTF">2023-05-12T18:32:46Z</dcterms:modified>
</cp:coreProperties>
</file>